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p\Documents\FII\"/>
    </mc:Choice>
  </mc:AlternateContent>
  <bookViews>
    <workbookView xWindow="0" yWindow="0" windowWidth="15330" windowHeight="7170" firstSheet="2" activeTab="2"/>
  </bookViews>
  <sheets>
    <sheet name="xx" sheetId="6" r:id="rId1"/>
    <sheet name="GrafDinam Por generoxSueldo" sheetId="7" r:id="rId2"/>
    <sheet name="GrafDinam EmpxCargoy Sueldo" sheetId="8" r:id="rId3"/>
    <sheet name="DATOS BASICOS EMP" sheetId="1" r:id="rId4"/>
    <sheet name="TABLAS" sheetId="2" r:id="rId5"/>
    <sheet name="PRUEBAS" sheetId="3" r:id="rId6"/>
    <sheet name="CONSULTAS" sheetId="4" r:id="rId7"/>
    <sheet name="Reglas de negocio" sheetId="5" r:id="rId8"/>
  </sheets>
  <definedNames>
    <definedName name="Cargos">TABLAS!$E$2:$E$13</definedName>
    <definedName name="CargoySueldo">TABLAS!$E$2:$F$14</definedName>
    <definedName name="Ciudades">TABLAS!$A$2:$A$12</definedName>
    <definedName name="CiudadyPoblacion">PRUEBAS!$G$2:$K$6</definedName>
    <definedName name="Dependencias">TABLAS!$C$2:$C$14</definedName>
    <definedName name="TipoContratos">TABLAS!$G$2:$G$11</definedName>
  </definedNames>
  <calcPr calcId="152511"/>
  <pivotCaches>
    <pivotCache cacheId="14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" i="1" l="1"/>
  <c r="S3" i="1"/>
  <c r="S4" i="1"/>
  <c r="S6" i="1"/>
  <c r="S9" i="1"/>
  <c r="S12" i="1"/>
  <c r="U6" i="3"/>
  <c r="T6" i="3"/>
  <c r="U4" i="3"/>
  <c r="U5" i="3"/>
  <c r="U3" i="3"/>
  <c r="T4" i="3"/>
  <c r="T5" i="3"/>
  <c r="T3" i="3"/>
  <c r="R3" i="1"/>
  <c r="R6" i="1"/>
  <c r="R9" i="1"/>
  <c r="R11" i="1"/>
  <c r="P3" i="1"/>
  <c r="P6" i="1"/>
  <c r="P7" i="1"/>
  <c r="P9" i="1"/>
  <c r="P10" i="1"/>
  <c r="P12" i="1"/>
  <c r="B5" i="4" l="1"/>
  <c r="B4" i="4"/>
  <c r="B3" i="4"/>
  <c r="B2" i="4"/>
  <c r="K2" i="1"/>
  <c r="K3" i="1"/>
  <c r="K4" i="1"/>
  <c r="K5" i="1"/>
  <c r="S5" i="1" s="1"/>
  <c r="K6" i="1"/>
  <c r="K7" i="1"/>
  <c r="S7" i="1" s="1"/>
  <c r="K8" i="1"/>
  <c r="S8" i="1" s="1"/>
  <c r="K9" i="1"/>
  <c r="K10" i="1"/>
  <c r="S10" i="1" s="1"/>
  <c r="K11" i="1"/>
  <c r="S11" i="1" s="1"/>
  <c r="K12" i="1"/>
  <c r="D6" i="3"/>
  <c r="D7" i="3"/>
  <c r="D8" i="3"/>
  <c r="C7" i="3"/>
  <c r="C8" i="3"/>
  <c r="C6" i="3"/>
  <c r="P5" i="1" l="1"/>
  <c r="R5" i="1"/>
  <c r="P11" i="1"/>
  <c r="R7" i="1"/>
  <c r="R10" i="1"/>
  <c r="R12" i="1"/>
  <c r="P8" i="1"/>
  <c r="R8" i="1"/>
  <c r="P4" i="1"/>
  <c r="R4" i="1"/>
  <c r="P2" i="1"/>
  <c r="R2" i="1"/>
  <c r="M9" i="1"/>
  <c r="N9" i="1" s="1"/>
  <c r="M5" i="1"/>
  <c r="N5" i="1" s="1"/>
  <c r="M12" i="1"/>
  <c r="N12" i="1" s="1"/>
  <c r="M8" i="1"/>
  <c r="N8" i="1" s="1"/>
  <c r="M4" i="1"/>
  <c r="N4" i="1" s="1"/>
  <c r="M11" i="1"/>
  <c r="N11" i="1" s="1"/>
  <c r="M7" i="1"/>
  <c r="N7" i="1" s="1"/>
  <c r="M3" i="1"/>
  <c r="N3" i="1" s="1"/>
  <c r="M10" i="1"/>
  <c r="N10" i="1" s="1"/>
  <c r="M6" i="1"/>
  <c r="N6" i="1" s="1"/>
  <c r="M2" i="1"/>
  <c r="N2" i="1" s="1"/>
  <c r="D5" i="1"/>
  <c r="D6" i="1"/>
  <c r="D7" i="1"/>
  <c r="D8" i="1"/>
  <c r="D9" i="1"/>
  <c r="D10" i="1"/>
  <c r="D11" i="1"/>
  <c r="D12" i="1"/>
  <c r="D2" i="1" l="1"/>
  <c r="D3" i="1"/>
  <c r="D4" i="1"/>
  <c r="D3" i="3"/>
  <c r="D2" i="3"/>
</calcChain>
</file>

<file path=xl/sharedStrings.xml><?xml version="1.0" encoding="utf-8"?>
<sst xmlns="http://schemas.openxmlformats.org/spreadsheetml/2006/main" count="272" uniqueCount="153">
  <si>
    <t>NOMBRES</t>
  </si>
  <si>
    <t>APELLIDOS</t>
  </si>
  <si>
    <t>CEDULA</t>
  </si>
  <si>
    <t>DIRECCION</t>
  </si>
  <si>
    <t>CIUDAD</t>
  </si>
  <si>
    <t>FECHA_INGRESO</t>
  </si>
  <si>
    <t>DEPENDENCIA</t>
  </si>
  <si>
    <t>CARGO</t>
  </si>
  <si>
    <t>TIPO_CONTRATO</t>
  </si>
  <si>
    <t>CANO GIL</t>
  </si>
  <si>
    <t>YAMILE</t>
  </si>
  <si>
    <t>CRA 20 56-36</t>
  </si>
  <si>
    <t>PEREIRA</t>
  </si>
  <si>
    <t>RECURSOS HUMANOS</t>
  </si>
  <si>
    <t>ANALISTA FINANCIERO</t>
  </si>
  <si>
    <t>ALBERTO</t>
  </si>
  <si>
    <t>OSPINA VARELA</t>
  </si>
  <si>
    <t>CLLE 20 5-06</t>
  </si>
  <si>
    <t>DOSQUEBRADAS</t>
  </si>
  <si>
    <t>NOMINA</t>
  </si>
  <si>
    <t>PROFESIONAL</t>
  </si>
  <si>
    <t>INDEFINIDO</t>
  </si>
  <si>
    <t>NOMBRES Y APELLIDOS</t>
  </si>
  <si>
    <t>JUAN</t>
  </si>
  <si>
    <t>PEREZ</t>
  </si>
  <si>
    <t>CARLOS</t>
  </si>
  <si>
    <t>CASTAÑO</t>
  </si>
  <si>
    <t>CALI</t>
  </si>
  <si>
    <t>ARMENIA</t>
  </si>
  <si>
    <t>CIUDADES</t>
  </si>
  <si>
    <t>MANIZALES</t>
  </si>
  <si>
    <t>CARTAGO</t>
  </si>
  <si>
    <t>SANTA ROSA</t>
  </si>
  <si>
    <t>LA VIRGINIA</t>
  </si>
  <si>
    <t>DEPENDENCIAS</t>
  </si>
  <si>
    <t>CARGOS</t>
  </si>
  <si>
    <t>INGENIERIA DE PROYECTOS</t>
  </si>
  <si>
    <t>JURIDICA</t>
  </si>
  <si>
    <t>SISTEMAS</t>
  </si>
  <si>
    <t>TESORERIA</t>
  </si>
  <si>
    <t>PRODUCCION</t>
  </si>
  <si>
    <t>CALIDAD</t>
  </si>
  <si>
    <t>CONTABILIDAD</t>
  </si>
  <si>
    <t>PLANEACION</t>
  </si>
  <si>
    <t>ING DE APROVISIONAMIENTO</t>
  </si>
  <si>
    <t>JEFE DE SECCION</t>
  </si>
  <si>
    <t>ING  DE SISTEMAS</t>
  </si>
  <si>
    <t>CONTADOR</t>
  </si>
  <si>
    <t>AUXILIAR</t>
  </si>
  <si>
    <t>GERENTE</t>
  </si>
  <si>
    <t>VIGILANTE</t>
  </si>
  <si>
    <t>Paula</t>
  </si>
  <si>
    <t>Palacio Osorio</t>
  </si>
  <si>
    <t>Cra 15 56-96</t>
  </si>
  <si>
    <t>SERVICIOS GENERALES</t>
  </si>
  <si>
    <t>Reglas de negocio - Condiciones</t>
  </si>
  <si>
    <t>Calculo de Retencion según sueldo</t>
  </si>
  <si>
    <t>Sueldo</t>
  </si>
  <si>
    <t>%Ret</t>
  </si>
  <si>
    <t>0-1.600.000</t>
  </si>
  <si>
    <t>1.600.001 - 3.000.000</t>
  </si>
  <si>
    <t>superiores a 3.000.000</t>
  </si>
  <si>
    <t>Los empleados que pertenecen al sindicato  y tienen cargo SERVICIOS GENERALES deben hacer un aporte de 5.000 de lo contrario el aporte será del 1% del sueldo</t>
  </si>
  <si>
    <t>Los empleados afiliados a las CORPORACION deben hacer un aporte de 10.000 si el sueldo es inferior o igual a 2.500.000, de lo contrario pagaran 15.000</t>
  </si>
  <si>
    <t>DAVID</t>
  </si>
  <si>
    <t>GARCIA SALAZAR</t>
  </si>
  <si>
    <t>JUAN PABLO</t>
  </si>
  <si>
    <t>OROZCO HURTADO</t>
  </si>
  <si>
    <t>ORLANDO</t>
  </si>
  <si>
    <t>ARIAS RAMIREZ</t>
  </si>
  <si>
    <t>MARTHA</t>
  </si>
  <si>
    <t>RIOS OSPINA</t>
  </si>
  <si>
    <t>Ivan Alexander</t>
  </si>
  <si>
    <t>Londoño Orozco</t>
  </si>
  <si>
    <t>Natalia</t>
  </si>
  <si>
    <t>Hurtado Londoño</t>
  </si>
  <si>
    <t>Juan Plablo</t>
  </si>
  <si>
    <t>Galeano Garcia</t>
  </si>
  <si>
    <t>Alexander</t>
  </si>
  <si>
    <t>Santacruz Ortiz</t>
  </si>
  <si>
    <t>Cra 15 56-97</t>
  </si>
  <si>
    <t>Cra 15 56-99</t>
  </si>
  <si>
    <t>Cra 15 56-100</t>
  </si>
  <si>
    <t>Cra 15 56-102</t>
  </si>
  <si>
    <t>Cra 10 226-98</t>
  </si>
  <si>
    <t>Clle 20 10-25</t>
  </si>
  <si>
    <t>Mz 4 cs 34 B. El Jardin</t>
  </si>
  <si>
    <t>Cra 25 30-10</t>
  </si>
  <si>
    <t>TIPO CONTRATO</t>
  </si>
  <si>
    <t>PRESTACION SERVICIOS</t>
  </si>
  <si>
    <t>CONTRATO</t>
  </si>
  <si>
    <t>OBRA - LABOR</t>
  </si>
  <si>
    <t>CAFÉ</t>
  </si>
  <si>
    <t>YUCA</t>
  </si>
  <si>
    <t>PLATANO</t>
  </si>
  <si>
    <t>%</t>
  </si>
  <si>
    <t>TOTAL</t>
  </si>
  <si>
    <t>AÑO</t>
  </si>
  <si>
    <t>%RET</t>
  </si>
  <si>
    <t>SUELDO</t>
  </si>
  <si>
    <t>POBLACION</t>
  </si>
  <si>
    <t>CULTIVO</t>
  </si>
  <si>
    <t>ALTURA</t>
  </si>
  <si>
    <t>CAFÉ, PLATANO</t>
  </si>
  <si>
    <t>CAFÉ, YUCA</t>
  </si>
  <si>
    <t>CAFÉ, PAPA</t>
  </si>
  <si>
    <t>Consultar Ciudad:</t>
  </si>
  <si>
    <t>Población:</t>
  </si>
  <si>
    <t>Cultivos:</t>
  </si>
  <si>
    <t>Altura:</t>
  </si>
  <si>
    <t>CLIMA</t>
  </si>
  <si>
    <t>TEMPLADO</t>
  </si>
  <si>
    <t>FRIO</t>
  </si>
  <si>
    <t>CAÑA, ALGODÓN</t>
  </si>
  <si>
    <t>CALIDO</t>
  </si>
  <si>
    <t>Clima:</t>
  </si>
  <si>
    <t>cali</t>
  </si>
  <si>
    <t>Valor RET</t>
  </si>
  <si>
    <t>SINDICATO</t>
  </si>
  <si>
    <t>S</t>
  </si>
  <si>
    <t>O</t>
  </si>
  <si>
    <t>VLR_SINDIC</t>
  </si>
  <si>
    <t>CONDIC 1</t>
  </si>
  <si>
    <t>Y</t>
  </si>
  <si>
    <t>CONDIC 2</t>
  </si>
  <si>
    <t>RESULTADO</t>
  </si>
  <si>
    <t>V</t>
  </si>
  <si>
    <t>F</t>
  </si>
  <si>
    <t>Los empleados que viven fuera de PEREIRA o tienen un sueldo inferior a 2,800,000 tienen un Auxilo de Transporte de 30.000</t>
  </si>
  <si>
    <t>CorpEmp</t>
  </si>
  <si>
    <t>s</t>
  </si>
  <si>
    <t>Vlr_CorpEmp</t>
  </si>
  <si>
    <t>MES</t>
  </si>
  <si>
    <t>VENTA</t>
  </si>
  <si>
    <t>VDOR</t>
  </si>
  <si>
    <t>LUIS</t>
  </si>
  <si>
    <t>MARIA</t>
  </si>
  <si>
    <t>PEDRO</t>
  </si>
  <si>
    <t>BONIF</t>
  </si>
  <si>
    <t>AuxTransp</t>
  </si>
  <si>
    <t>Para graficos dinamicos</t>
  </si>
  <si>
    <t>Cuantos hombres y mujeres hay, cuanto suman los sueldos de cada genero</t>
  </si>
  <si>
    <t xml:space="preserve">Cuantos empleados hay por cargo,  cuanto suman los sueldos </t>
  </si>
  <si>
    <t>Cuantos empleados hay por Ciudad y cuanto suman sus sueldos</t>
  </si>
  <si>
    <t>Cuantas personas pertenecen al Sindicato y cuanto suman los aportes</t>
  </si>
  <si>
    <t>GENERO</t>
  </si>
  <si>
    <t>M</t>
  </si>
  <si>
    <t>Etiquetas de fila</t>
  </si>
  <si>
    <t>Total general</t>
  </si>
  <si>
    <t>Cuenta de GENERO</t>
  </si>
  <si>
    <t>(Todas)</t>
  </si>
  <si>
    <t>Suma de SUELDO</t>
  </si>
  <si>
    <t>Cuenta de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</si>
</sst>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14" fontId="0" fillId="0" borderId="0" xfId="0" applyNumberFormat="1"/>
    <xf numFmtId="0" fontId="0" fillId="2" borderId="1" xfId="0" applyFont="1" applyFill="1" applyBorder="1"/>
    <xf numFmtId="0" fontId="0" fillId="0" borderId="1" xfId="0" applyFont="1" applyBorder="1"/>
    <xf numFmtId="0" fontId="0" fillId="3" borderId="0" xfId="0" applyFill="1"/>
    <xf numFmtId="0" fontId="0" fillId="3" borderId="2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0" xfId="0" applyNumberFormat="1"/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3" borderId="0" xfId="0" applyFill="1" applyBorder="1"/>
    <xf numFmtId="0" fontId="0" fillId="0" borderId="0" xfId="0" applyAlignment="1">
      <alignment horizontal="right"/>
    </xf>
    <xf numFmtId="0" fontId="0" fillId="6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5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7" borderId="0" xfId="0" applyFill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pivotButton="1"/>
    <xf numFmtId="164" fontId="0" fillId="0" borderId="0" xfId="0" applyNumberFormat="1"/>
    <xf numFmtId="0" fontId="0" fillId="0" borderId="2" xfId="0" applyBorder="1" applyAlignment="1">
      <alignment horizontal="left"/>
    </xf>
    <xf numFmtId="164" fontId="0" fillId="0" borderId="2" xfId="0" applyNumberFormat="1" applyBorder="1"/>
  </cellXfs>
  <cellStyles count="2">
    <cellStyle name="Millares" xfId="1" builtinId="3"/>
    <cellStyle name="Normal" xfId="0" builtinId="0"/>
  </cellStyles>
  <dxfs count="6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(* #,##0_);_(* \(#,##0\);_(* &quot;-&quot;??_);_(@_)"/>
    </dxf>
    <dxf>
      <numFmt numFmtId="165" formatCode="_(* #,##0.0_);_(* \(#,##0.0\);_(* &quot;-&quot;??_);_(@_)"/>
    </dxf>
    <dxf>
      <numFmt numFmtId="164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_(* #,##0.0_);_(* \(#,##0.0\);_(* &quot;-&quot;??_);_(@_)"/>
    </dxf>
    <dxf>
      <numFmt numFmtId="35" formatCode="_(* #,##0.00_);_(* \(#,##0.0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5" formatCode="_(* #,##0.0_);_(* \(#,##0.0\);_(* &quot;-&quot;??_);_(@_)"/>
    </dxf>
    <dxf>
      <numFmt numFmtId="164" formatCode="_(* #,##0_);_(* \(#,##0\);_(* &quot;-&quot;??_);_(@_)"/>
    </dxf>
    <dxf>
      <numFmt numFmtId="35" formatCode="_(* #,##0.00_);_(* \(#,##0.00\);_(* &quot;-&quot;??_);_(@_)"/>
    </dxf>
    <dxf>
      <numFmt numFmtId="0" formatCode="General"/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0" formatCode="General"/>
    </dxf>
    <dxf>
      <numFmt numFmtId="164" formatCode="_(* #,##0_);_(* \(#,##0\);_(* &quot;-&quot;??_);_(@_)"/>
    </dxf>
    <dxf>
      <numFmt numFmtId="19" formatCode="dd/mm/yyyy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[FII NOMINA EMPLEADOS.xlsx]GrafDinam Por generoxSueldo!Tabla dinámica2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Número de personas por género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circle"/>
          <c:size val="6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'GrafDinam Por generoxSueldo'!$B$3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</c:dPt>
          <c:dPt>
            <c:idx val="1"/>
            <c:bubble3D val="0"/>
            <c:spPr>
              <a:solidFill>
                <a:schemeClr val="accent2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'GrafDinam Por generoxSueldo'!$A$4:$A$6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'GrafDinam Por generoxSueldo'!$B$4:$B$6</c:f>
              <c:numCache>
                <c:formatCode>General</c:formatCode>
                <c:ptCount val="2"/>
                <c:pt idx="0">
                  <c:v>4</c:v>
                </c:pt>
                <c:pt idx="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[FII NOMINA EMPLEADOS.xlsx]GrafDinam Por generoxSueldo!Tabla dinámica4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Sueldos por género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gradFill>
            <a:gsLst>
              <a:gs pos="0">
                <a:schemeClr val="accent1"/>
              </a:gs>
              <a:gs pos="100000">
                <a:schemeClr val="accent1">
                  <a:lumMod val="84000"/>
                </a:schemeClr>
              </a:gs>
            </a:gsLst>
            <a:lin ang="5400000" scaled="1"/>
          </a:gradFill>
          <a:ln>
            <a:noFill/>
          </a:ln>
          <a:effectLst>
            <a:outerShdw blurRad="76200" dir="18900000" sy="23000" kx="-1200000" algn="bl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'GrafDinam Por generoxSueldo'!$D$24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'GrafDinam Por generoxSueldo'!$C$25:$C$27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'GrafDinam Por generoxSueldo'!$D$25:$D$27</c:f>
              <c:numCache>
                <c:formatCode>_(* #,##0_);_(* \(#,##0\);_(* "-"??_);_(@_)</c:formatCode>
                <c:ptCount val="2"/>
                <c:pt idx="0">
                  <c:v>7550000</c:v>
                </c:pt>
                <c:pt idx="1">
                  <c:v>9300000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89801400"/>
        <c:axId val="589802184"/>
      </c:barChart>
      <c:catAx>
        <c:axId val="589801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Género</a:t>
                </a:r>
              </a:p>
            </c:rich>
          </c:tx>
          <c:layout>
            <c:manualLayout>
              <c:xMode val="edge"/>
              <c:yMode val="edge"/>
              <c:x val="0.43179505686789149"/>
              <c:y val="0.800997375328084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9802184"/>
        <c:crosses val="autoZero"/>
        <c:auto val="1"/>
        <c:lblAlgn val="ctr"/>
        <c:lblOffset val="100"/>
        <c:noMultiLvlLbl val="0"/>
      </c:catAx>
      <c:valAx>
        <c:axId val="589802184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Sueldos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crossAx val="589801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[FII NOMINA EMPLEADOS.xlsx]GrafDinam EmpxCargoy Sueldo!Tabla dinámica5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Total sueldos por cargo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gradFill>
            <a:gsLst>
              <a:gs pos="0">
                <a:schemeClr val="accent1"/>
              </a:gs>
              <a:gs pos="100000">
                <a:schemeClr val="accent1">
                  <a:lumMod val="84000"/>
                </a:schemeClr>
              </a:gs>
            </a:gsLst>
            <a:lin ang="5400000" scaled="1"/>
          </a:gradFill>
          <a:ln>
            <a:noFill/>
          </a:ln>
          <a:effectLst>
            <a:outerShdw blurRad="76200" dir="18900000" sy="23000" kx="-1200000" algn="bl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'GrafDinam EmpxCargoy Sueldo'!$B$3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'GrafDinam EmpxCargoy Sueldo'!$A$4:$A$6</c:f>
              <c:strCache>
                <c:ptCount val="2"/>
                <c:pt idx="0">
                  <c:v>PROFESIONAL</c:v>
                </c:pt>
                <c:pt idx="1">
                  <c:v>AUXILIAR</c:v>
                </c:pt>
              </c:strCache>
            </c:strRef>
          </c:cat>
          <c:val>
            <c:numRef>
              <c:f>'GrafDinam EmpxCargoy Sueldo'!$B$4:$B$6</c:f>
              <c:numCache>
                <c:formatCode>_(* #,##0_);_(* \(#,##0\);_(* "-"??_);_(@_)</c:formatCode>
                <c:ptCount val="2"/>
                <c:pt idx="0">
                  <c:v>4000000</c:v>
                </c:pt>
                <c:pt idx="1">
                  <c:v>900000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98839064"/>
        <c:axId val="598838672"/>
      </c:barChart>
      <c:catAx>
        <c:axId val="5988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8838672"/>
        <c:crosses val="autoZero"/>
        <c:auto val="1"/>
        <c:lblAlgn val="ctr"/>
        <c:lblOffset val="100"/>
        <c:noMultiLvlLbl val="0"/>
      </c:catAx>
      <c:valAx>
        <c:axId val="598838672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extTo"/>
        <c:crossAx val="5988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[FII NOMINA EMPLEADOS.xlsx]GrafDinam EmpxCargoy Sueldo!Tabla dinámica6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Número</a:t>
            </a:r>
            <a:r>
              <a:rPr lang="en-US" baseline="0"/>
              <a:t> de empleados por Cargo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gradFill>
            <a:gsLst>
              <a:gs pos="0">
                <a:schemeClr val="accent1"/>
              </a:gs>
              <a:gs pos="100000">
                <a:schemeClr val="accent1">
                  <a:lumMod val="84000"/>
                </a:schemeClr>
              </a:gs>
            </a:gsLst>
            <a:lin ang="5400000" scaled="1"/>
          </a:gradFill>
          <a:ln>
            <a:noFill/>
          </a:ln>
          <a:effectLst>
            <a:outerShdw blurRad="76200" dir="18900000" sy="23000" kx="-1200000" algn="bl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'GrafDinam EmpxCargoy Sueldo'!$B$29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'GrafDinam EmpxCargoy Sueldo'!$A$30:$A$32</c:f>
              <c:strCache>
                <c:ptCount val="2"/>
                <c:pt idx="0">
                  <c:v>PROFESIONAL</c:v>
                </c:pt>
                <c:pt idx="1">
                  <c:v>AUXILIAR</c:v>
                </c:pt>
              </c:strCache>
            </c:strRef>
          </c:cat>
          <c:val>
            <c:numRef>
              <c:f>'GrafDinam EmpxCargoy Sueldo'!$B$30:$B$32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51867000"/>
        <c:axId val="551868176"/>
      </c:barChart>
      <c:catAx>
        <c:axId val="551867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Cargos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1868176"/>
        <c:crosses val="autoZero"/>
        <c:auto val="1"/>
        <c:lblAlgn val="ctr"/>
        <c:lblOffset val="100"/>
        <c:noMultiLvlLbl val="0"/>
      </c:catAx>
      <c:valAx>
        <c:axId val="55186817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Numero de empleados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crossAx val="55186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7</xdr:row>
      <xdr:rowOff>23812</xdr:rowOff>
    </xdr:from>
    <xdr:to>
      <xdr:col>7</xdr:col>
      <xdr:colOff>38100</xdr:colOff>
      <xdr:row>21</xdr:row>
      <xdr:rowOff>100012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190500</xdr:colOff>
      <xdr:row>27</xdr:row>
      <xdr:rowOff>157162</xdr:rowOff>
    </xdr:from>
    <xdr:to>
      <xdr:col>5</xdr:col>
      <xdr:colOff>552450</xdr:colOff>
      <xdr:row>42</xdr:row>
      <xdr:rowOff>42862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161931</xdr:colOff>
      <xdr:row>10</xdr:row>
      <xdr:rowOff>128587</xdr:rowOff>
    </xdr:from>
    <xdr:to>
      <xdr:col>6</xdr:col>
      <xdr:colOff>161931</xdr:colOff>
      <xdr:row>25</xdr:row>
      <xdr:rowOff>14287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37</xdr:row>
      <xdr:rowOff>4762</xdr:rowOff>
    </xdr:from>
    <xdr:to>
      <xdr:col>6</xdr:col>
      <xdr:colOff>200025</xdr:colOff>
      <xdr:row>52</xdr:row>
      <xdr:rowOff>38100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TP" refreshedDate="42255.863981481481" createdVersion="5" refreshedVersion="5" minRefreshableVersion="3" recordCount="11">
  <cacheSource type="worksheet">
    <worksheetSource name="TblEmpleados"/>
  </cacheSource>
  <cacheFields count="19">
    <cacheField name="CEDULA" numFmtId="0">
      <sharedItems containsSemiMixedTypes="0" containsString="0" containsNumber="1" containsInteger="1" minValue="100" maxValue="1100"/>
    </cacheField>
    <cacheField name="NOMBRES" numFmtId="0">
      <sharedItems/>
    </cacheField>
    <cacheField name="APELLIDOS" numFmtId="0">
      <sharedItems/>
    </cacheField>
    <cacheField name="NOMBRES Y APELLIDOS" numFmtId="0">
      <sharedItems/>
    </cacheField>
    <cacheField name="GENERO" numFmtId="0">
      <sharedItems count="2">
        <s v="F"/>
        <s v="M"/>
      </sharedItems>
    </cacheField>
    <cacheField name="DIRECCION" numFmtId="0">
      <sharedItems/>
    </cacheField>
    <cacheField name="CIUDAD" numFmtId="0">
      <sharedItems count="4">
        <s v="DOSQUEBRADAS"/>
        <s v="SANTA ROSA"/>
        <s v="PEREIRA"/>
        <s v="CARTAGO"/>
      </sharedItems>
    </cacheField>
    <cacheField name="FECHA_INGRESO" numFmtId="14">
      <sharedItems containsSemiMixedTypes="0" containsNonDate="0" containsDate="1" containsString="0" minDate="2000-09-14T00:00:00" maxDate="2014-06-14T00:00:00"/>
    </cacheField>
    <cacheField name="DEPENDENCIA" numFmtId="0">
      <sharedItems count="5">
        <s v="RECURSOS HUMANOS"/>
        <s v="JURIDICA"/>
        <s v="TESORERIA"/>
        <s v="SISTEMAS"/>
        <s v="PRODUCCION"/>
      </sharedItems>
    </cacheField>
    <cacheField name="CARGO" numFmtId="0">
      <sharedItems count="6">
        <s v="ANALISTA FINANCIERO"/>
        <s v="SERVICIOS GENERALES"/>
        <s v="CONTADOR"/>
        <s v="AUXILIAR"/>
        <s v="PROFESIONAL"/>
        <s v="JEFE DE SECCION"/>
      </sharedItems>
    </cacheField>
    <cacheField name="SUELDO" numFmtId="164">
      <sharedItems containsSemiMixedTypes="0" containsString="0" containsNumber="1" containsInteger="1" minValue="750000" maxValue="3200000"/>
    </cacheField>
    <cacheField name="TIPO_CONTRATO" numFmtId="0">
      <sharedItems/>
    </cacheField>
    <cacheField name="%RET" numFmtId="0">
      <sharedItems containsSemiMixedTypes="0" containsString="0" containsNumber="1" containsInteger="1" minValue="0" maxValue="2"/>
    </cacheField>
    <cacheField name="Valor RET" numFmtId="164">
      <sharedItems containsSemiMixedTypes="0" containsString="0" containsNumber="1" containsInteger="1" minValue="0" maxValue="64000"/>
    </cacheField>
    <cacheField name="SINDICATO" numFmtId="0">
      <sharedItems containsBlank="1"/>
    </cacheField>
    <cacheField name="VLR_SINDIC" numFmtId="164">
      <sharedItems containsSemiMixedTypes="0" containsString="0" containsNumber="1" containsInteger="1" minValue="0" maxValue="32000"/>
    </cacheField>
    <cacheField name="CorpEmp" numFmtId="0">
      <sharedItems containsBlank="1"/>
    </cacheField>
    <cacheField name="Vlr_CorpEmp" numFmtId="164">
      <sharedItems containsSemiMixedTypes="0" containsString="0" containsNumber="1" containsInteger="1" minValue="0" maxValue="15000"/>
    </cacheField>
    <cacheField name="AuxTransp" numFmtId="164">
      <sharedItems containsSemiMixedTypes="0" containsString="0" containsNumber="1" containsInteger="1" minValue="0" maxValue="3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n v="100"/>
    <s v="YAMILE"/>
    <s v="CANO GIL"/>
    <s v="YAMILE CANO GIL"/>
    <x v="0"/>
    <s v="CRA 20 56-36"/>
    <x v="0"/>
    <d v="2005-08-15T00:00:00"/>
    <x v="0"/>
    <x v="0"/>
    <n v="1800000"/>
    <s v="PRESTACION SERVICIOS"/>
    <n v="1"/>
    <n v="18000"/>
    <s v="S"/>
    <n v="18000"/>
    <s v="s"/>
    <n v="10000"/>
    <n v="30000"/>
  </r>
  <r>
    <n v="200"/>
    <s v="ALBERTO"/>
    <s v="OSPINA VARELA"/>
    <s v="ALBERTO OSPINA VARELA"/>
    <x v="1"/>
    <s v="CLLE 20 5-06"/>
    <x v="1"/>
    <d v="2010-01-10T00:00:00"/>
    <x v="1"/>
    <x v="1"/>
    <n v="750000"/>
    <s v="INDEFINIDO"/>
    <n v="0"/>
    <n v="0"/>
    <m/>
    <n v="0"/>
    <m/>
    <n v="0"/>
    <n v="30000"/>
  </r>
  <r>
    <n v="300"/>
    <s v="Paula"/>
    <s v="Palacio Osorio"/>
    <s v="Paula Palacio Osorio"/>
    <x v="0"/>
    <s v="Cra 15 56-96"/>
    <x v="1"/>
    <d v="2012-06-05T00:00:00"/>
    <x v="2"/>
    <x v="2"/>
    <n v="1800000"/>
    <s v="INDEFINIDO"/>
    <n v="1"/>
    <n v="18000"/>
    <s v="S"/>
    <n v="18000"/>
    <s v="s"/>
    <n v="10000"/>
    <n v="30000"/>
  </r>
  <r>
    <n v="400"/>
    <s v="DAVID"/>
    <s v="GARCIA SALAZAR"/>
    <s v="DAVID GARCIA SALAZAR"/>
    <x v="1"/>
    <s v="Cra 15 56-97"/>
    <x v="2"/>
    <d v="2014-02-10T00:00:00"/>
    <x v="2"/>
    <x v="3"/>
    <n v="900000"/>
    <s v="CONTRATO"/>
    <n v="0"/>
    <n v="0"/>
    <s v="S"/>
    <n v="9000"/>
    <s v="s"/>
    <n v="10000"/>
    <n v="30000"/>
  </r>
  <r>
    <n v="500"/>
    <s v="JUAN PABLO"/>
    <s v="OROZCO HURTADO"/>
    <s v="JUAN PABLO OROZCO HURTADO"/>
    <x v="1"/>
    <s v="Cra 10 226-98"/>
    <x v="0"/>
    <d v="2010-06-12T00:00:00"/>
    <x v="3"/>
    <x v="3"/>
    <n v="900000"/>
    <s v="PRESTACION SERVICIOS"/>
    <n v="0"/>
    <n v="0"/>
    <m/>
    <n v="0"/>
    <m/>
    <n v="0"/>
    <n v="30000"/>
  </r>
  <r>
    <n v="600"/>
    <s v="ORLANDO"/>
    <s v="ARIAS RAMIREZ"/>
    <s v="ORLANDO ARIAS RAMIREZ"/>
    <x v="1"/>
    <s v="Cra 15 56-99"/>
    <x v="2"/>
    <d v="2014-06-13T00:00:00"/>
    <x v="0"/>
    <x v="4"/>
    <n v="2000000"/>
    <s v="PRESTACION SERVICIOS"/>
    <n v="1"/>
    <n v="20000"/>
    <m/>
    <n v="0"/>
    <s v="s"/>
    <n v="10000"/>
    <n v="30000"/>
  </r>
  <r>
    <n v="700"/>
    <s v="MARTHA"/>
    <s v="RIOS OSPINA"/>
    <s v="MARTHA RIOS OSPINA"/>
    <x v="0"/>
    <s v="Cra 15 56-100"/>
    <x v="2"/>
    <d v="2012-08-30T00:00:00"/>
    <x v="4"/>
    <x v="5"/>
    <n v="3200000"/>
    <s v="CONTRATO"/>
    <n v="2"/>
    <n v="64000"/>
    <s v="S"/>
    <n v="32000"/>
    <s v="s"/>
    <n v="15000"/>
    <n v="0"/>
  </r>
  <r>
    <n v="800"/>
    <s v="Ivan Alexander"/>
    <s v="Londoño Orozco"/>
    <s v="Ivan Alexander Londoño Orozco"/>
    <x v="1"/>
    <s v="Clle 20 10-25"/>
    <x v="3"/>
    <d v="2010-05-20T00:00:00"/>
    <x v="3"/>
    <x v="4"/>
    <n v="2000000"/>
    <s v="PRESTACION SERVICIOS"/>
    <n v="1"/>
    <n v="20000"/>
    <m/>
    <n v="0"/>
    <m/>
    <n v="0"/>
    <n v="30000"/>
  </r>
  <r>
    <n v="900"/>
    <s v="Natalia"/>
    <s v="Hurtado Londoño"/>
    <s v="Natalia Hurtado Londoño"/>
    <x v="0"/>
    <s v="Cra 15 56-102"/>
    <x v="2"/>
    <d v="2009-05-01T00:00:00"/>
    <x v="2"/>
    <x v="1"/>
    <n v="750000"/>
    <s v="INDEFINIDO"/>
    <n v="0"/>
    <n v="0"/>
    <m/>
    <n v="0"/>
    <s v="s"/>
    <n v="10000"/>
    <n v="30000"/>
  </r>
  <r>
    <n v="1000"/>
    <s v="Juan Plablo"/>
    <s v="Galeano Garcia"/>
    <s v="Juan Plablo Galeano Garcia"/>
    <x v="1"/>
    <s v="Mz 4 cs 34 B. El Jardin"/>
    <x v="2"/>
    <d v="2000-09-14T00:00:00"/>
    <x v="3"/>
    <x v="4"/>
    <n v="2000000"/>
    <s v="INDEFINIDO"/>
    <n v="1"/>
    <n v="20000"/>
    <s v="S"/>
    <n v="20000"/>
    <m/>
    <n v="0"/>
    <n v="30000"/>
  </r>
  <r>
    <n v="1100"/>
    <s v="Alexander"/>
    <s v="Santacruz Ortiz"/>
    <s v="Alexander Santacruz Ortiz"/>
    <x v="1"/>
    <s v="Cra 25 30-10"/>
    <x v="0"/>
    <d v="2013-08-16T00:00:00"/>
    <x v="1"/>
    <x v="1"/>
    <n v="750000"/>
    <s v="INDEFINIDO"/>
    <n v="0"/>
    <n v="0"/>
    <s v="S"/>
    <n v="5000"/>
    <s v="s"/>
    <n v="10000"/>
    <n v="3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">
  <location ref="A3:C20" firstHeaderRow="1" firstDataRow="1" firstDataCol="0"/>
  <pivotFields count="19">
    <pivotField showAll="0"/>
    <pivotField showAll="0"/>
    <pivotField showAll="0"/>
    <pivotField showAll="0"/>
    <pivotField showAll="0" defaultSubtotal="0"/>
    <pivotField showAll="0"/>
    <pivotField showAll="0"/>
    <pivotField numFmtId="14" showAll="0"/>
    <pivotField showAll="0"/>
    <pivotField showAll="0"/>
    <pivotField numFmtId="164" showAll="0"/>
    <pivotField showAll="0"/>
    <pivotField showAll="0"/>
    <pivotField numFmtId="164" showAll="0"/>
    <pivotField showAll="0"/>
    <pivotField numFmtId="164" showAll="0"/>
    <pivotField showAll="0"/>
    <pivotField numFmtId="164" showAll="0"/>
    <pivotField numFmtId="164"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4" cacheId="1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">
  <location ref="C24:D27" firstHeaderRow="1" firstDataRow="1" firstDataCol="1" rowPageCount="1" colPageCount="1"/>
  <pivotFields count="19"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axis="axisPage" multipleItemSelectionAllowed="1" showAll="0">
      <items count="5">
        <item x="3"/>
        <item x="0"/>
        <item x="2"/>
        <item x="1"/>
        <item t="default"/>
      </items>
    </pivotField>
    <pivotField numFmtId="14" showAll="0"/>
    <pivotField showAll="0"/>
    <pivotField showAll="0"/>
    <pivotField dataField="1" numFmtId="164" showAll="0"/>
    <pivotField showAll="0"/>
    <pivotField showAll="0"/>
    <pivotField numFmtId="164" showAll="0"/>
    <pivotField showAll="0"/>
    <pivotField numFmtId="164" showAll="0"/>
    <pivotField showAll="0"/>
    <pivotField numFmtId="164" showAll="0"/>
    <pivotField numFmtId="164" showAll="0"/>
  </pivotFields>
  <rowFields count="1">
    <field x="4"/>
  </rowFields>
  <rowItems count="3">
    <i>
      <x/>
    </i>
    <i>
      <x v="1"/>
    </i>
    <i t="grand">
      <x/>
    </i>
  </rowItems>
  <colItems count="1">
    <i/>
  </colItems>
  <pageFields count="1">
    <pageField fld="6" hier="-1"/>
  </pageFields>
  <dataFields count="1">
    <dataField name="Suma de SUELDO" fld="10" baseField="0" baseItem="0"/>
  </dataFields>
  <formats count="1">
    <format dxfId="46">
      <pivotArea collapsedLevelsAreSubtotals="1" fieldPosition="0">
        <references count="1">
          <reference field="4" count="0"/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 dinámica2" cacheId="1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7">
  <location ref="A3:B6" firstHeaderRow="1" firstDataRow="1" firstDataCol="1" rowPageCount="1" colPageCount="1"/>
  <pivotFields count="19">
    <pivotField showAll="0"/>
    <pivotField showAll="0"/>
    <pivotField showAll="0"/>
    <pivotField showAll="0"/>
    <pivotField axis="axisRow" dataField="1" showAll="0" defaultSubtotal="0">
      <items count="2">
        <item x="0"/>
        <item x="1"/>
      </items>
    </pivotField>
    <pivotField showAll="0"/>
    <pivotField axis="axisPage" multipleItemSelectionAllowed="1" showAll="0">
      <items count="5">
        <item x="3"/>
        <item x="0"/>
        <item x="2"/>
        <item x="1"/>
        <item t="default"/>
      </items>
    </pivotField>
    <pivotField numFmtId="14" showAll="0"/>
    <pivotField showAll="0"/>
    <pivotField showAll="0"/>
    <pivotField numFmtId="164" showAll="0"/>
    <pivotField showAll="0"/>
    <pivotField showAll="0"/>
    <pivotField numFmtId="164" showAll="0"/>
    <pivotField showAll="0"/>
    <pivotField numFmtId="164" showAll="0"/>
    <pivotField showAll="0"/>
    <pivotField numFmtId="164" showAll="0"/>
    <pivotField numFmtId="164" showAll="0"/>
  </pivotFields>
  <rowFields count="1">
    <field x="4"/>
  </rowFields>
  <rowItems count="3">
    <i>
      <x/>
    </i>
    <i>
      <x v="1"/>
    </i>
    <i t="grand">
      <x/>
    </i>
  </rowItems>
  <colItems count="1">
    <i/>
  </colItems>
  <pageFields count="1">
    <pageField fld="6" hier="-1"/>
  </pageFields>
  <dataFields count="1">
    <dataField name="Cuenta de GENERO" fld="4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a dinámica6" cacheId="1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">
  <location ref="A29:B32" firstHeaderRow="1" firstDataRow="1" firstDataCol="1" rowPageCount="1" colPageCount="1"/>
  <pivotFields count="19">
    <pivotField showAll="0"/>
    <pivotField showAll="0"/>
    <pivotField showAll="0"/>
    <pivotField showAll="0"/>
    <pivotField showAll="0"/>
    <pivotField showAll="0"/>
    <pivotField showAll="0"/>
    <pivotField numFmtId="14" showAll="0"/>
    <pivotField axis="axisPage" multipleItemSelectionAllowed="1" showAll="0">
      <items count="6">
        <item h="1" x="1"/>
        <item h="1" x="4"/>
        <item h="1" x="0"/>
        <item x="3"/>
        <item h="1" x="2"/>
        <item t="default"/>
      </items>
    </pivotField>
    <pivotField axis="axisRow" dataField="1" showAll="0" sortType="descending">
      <items count="7">
        <item x="0"/>
        <item x="3"/>
        <item x="2"/>
        <item x="5"/>
        <item x="4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164" showAll="0"/>
    <pivotField showAll="0"/>
    <pivotField showAll="0"/>
    <pivotField numFmtId="164" showAll="0"/>
    <pivotField showAll="0"/>
    <pivotField numFmtId="164" showAll="0"/>
    <pivotField showAll="0"/>
    <pivotField numFmtId="164" showAll="0"/>
    <pivotField numFmtId="164" showAll="0"/>
  </pivotFields>
  <rowFields count="1">
    <field x="9"/>
  </rowFields>
  <rowItems count="3">
    <i>
      <x v="4"/>
    </i>
    <i>
      <x v="1"/>
    </i>
    <i t="grand">
      <x/>
    </i>
  </rowItems>
  <colItems count="1">
    <i/>
  </colItems>
  <pageFields count="1">
    <pageField fld="8" hier="-1"/>
  </pageFields>
  <dataFields count="1">
    <dataField name="Cuenta de CARGO" fld="9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a dinámica5" cacheId="1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">
  <location ref="A3:B6" firstHeaderRow="1" firstDataRow="1" firstDataCol="1" rowPageCount="1" colPageCount="1"/>
  <pivotFields count="19">
    <pivotField showAll="0"/>
    <pivotField showAll="0"/>
    <pivotField showAll="0"/>
    <pivotField showAll="0"/>
    <pivotField showAll="0"/>
    <pivotField showAll="0"/>
    <pivotField showAll="0"/>
    <pivotField numFmtId="14" showAll="0"/>
    <pivotField axis="axisPage" multipleItemSelectionAllowed="1" showAll="0">
      <items count="6">
        <item h="1" x="1"/>
        <item h="1" x="4"/>
        <item h="1" x="0"/>
        <item x="3"/>
        <item h="1" x="2"/>
        <item t="default"/>
      </items>
    </pivotField>
    <pivotField axis="axisRow" showAll="0" sortType="descending">
      <items count="7">
        <item x="0"/>
        <item x="3"/>
        <item x="2"/>
        <item x="5"/>
        <item x="4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164" showAll="0"/>
    <pivotField showAll="0"/>
    <pivotField showAll="0"/>
    <pivotField numFmtId="164" showAll="0"/>
    <pivotField showAll="0"/>
    <pivotField numFmtId="164" showAll="0"/>
    <pivotField showAll="0"/>
    <pivotField numFmtId="164" showAll="0"/>
    <pivotField numFmtId="164" showAll="0"/>
  </pivotFields>
  <rowFields count="1">
    <field x="9"/>
  </rowFields>
  <rowItems count="3">
    <i>
      <x v="4"/>
    </i>
    <i>
      <x v="1"/>
    </i>
    <i t="grand">
      <x/>
    </i>
  </rowItems>
  <colItems count="1">
    <i/>
  </colItems>
  <pageFields count="1">
    <pageField fld="8" hier="-1"/>
  </pageFields>
  <dataFields count="1">
    <dataField name="Suma de SUELDO" fld="10" baseField="0" baseItem="0" numFmtId="164"/>
  </dataFields>
  <formats count="4">
    <format dxfId="40">
      <pivotArea outline="0" collapsedLevelsAreSubtotals="1" fieldPosition="0"/>
    </format>
    <format dxfId="39">
      <pivotArea dataOnly="0" labelOnly="1" fieldPosition="0">
        <references count="1">
          <reference field="9" count="0"/>
        </references>
      </pivotArea>
    </format>
    <format dxfId="38">
      <pivotArea dataOnly="0" labelOnly="1" grandRow="1" outline="0" fieldPosition="0"/>
    </format>
    <format dxfId="25">
      <pivotArea outline="0" collapsedLevelsAreSubtotals="1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blEmpleados" displayName="TblEmpleados" ref="A1:S12" totalsRowShown="0">
  <tableColumns count="19">
    <tableColumn id="1" name="CEDULA"/>
    <tableColumn id="2" name="NOMBRES"/>
    <tableColumn id="3" name="APELLIDOS"/>
    <tableColumn id="10" name="NOMBRES Y APELLIDOS" dataDxfId="59">
      <calculatedColumnFormula>TblEmpleados[[#This Row],[NOMBRES]]&amp;" "&amp;TblEmpleados[[#This Row],[APELLIDOS]]</calculatedColumnFormula>
    </tableColumn>
    <tableColumn id="18" name="GENERO" dataDxfId="48"/>
    <tableColumn id="4" name="DIRECCION"/>
    <tableColumn id="5" name="CIUDAD"/>
    <tableColumn id="6" name="FECHA_INGRESO" dataDxfId="58"/>
    <tableColumn id="7" name="DEPENDENCIA"/>
    <tableColumn id="8" name="CARGO"/>
    <tableColumn id="12" name="SUELDO" dataDxfId="57" dataCellStyle="Millares">
      <calculatedColumnFormula>VLOOKUP(TblEmpleados[[#This Row],[CARGO]],CargoySueldo,2,FALSE)</calculatedColumnFormula>
    </tableColumn>
    <tableColumn id="9" name="TIPO_CONTRATO"/>
    <tableColumn id="11" name="%RET" dataDxfId="56">
      <calculatedColumnFormula>IF(TblEmpleados[[#This Row],[SUELDO]]&lt;=1600000,0,IF(TblEmpleados[[#This Row],[SUELDO]]&lt;=3000000,1,2))</calculatedColumnFormula>
    </tableColumn>
    <tableColumn id="13" name="Valor RET" dataDxfId="55" dataCellStyle="Millares">
      <calculatedColumnFormula>TblEmpleados[[#This Row],[SUELDO]]*(TblEmpleados[[#This Row],[%RET]]/100)</calculatedColumnFormula>
    </tableColumn>
    <tableColumn id="14" name="SINDICATO"/>
    <tableColumn id="15" name="VLR_SINDIC" dataDxfId="54" dataCellStyle="Millares">
      <calculatedColumnFormula>IF(TblEmpleados[[#This Row],[SINDICATO]]="S",IF(TblEmpleados[[#This Row],[CARGO]]="SERVICIOS GENERALES",5000,TblEmpleados[[#This Row],[SUELDO]]*(1/100)),0)</calculatedColumnFormula>
    </tableColumn>
    <tableColumn id="16" name="CorpEmp"/>
    <tableColumn id="17" name="Vlr_CorpEmp" dataDxfId="53" dataCellStyle="Millares">
      <calculatedColumnFormula>IF(TblEmpleados[[#This Row],[CorpEmp]]="S",IF(TblEmpleados[[#This Row],[SUELDO]]&lt;=2500000,10000,15000),0)</calculatedColumnFormula>
    </tableColumn>
    <tableColumn id="19" name="AuxTransp" dataDxfId="52" dataCellStyle="Millares">
      <calculatedColumnFormula>IF(TblEmpleados[[#This Row],[CIUDAD]]&lt;&gt;"PEREIRA",30000,IF(TblEmpleados[[#This Row],[SUELDO]]&lt;=2800000,30000,0))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workbookViewId="0">
      <selection activeCell="F8" sqref="F8"/>
    </sheetView>
  </sheetViews>
  <sheetFormatPr baseColWidth="10" defaultRowHeight="15" x14ac:dyDescent="0.25"/>
  <sheetData>
    <row r="3" spans="1:3" x14ac:dyDescent="0.25">
      <c r="A3" s="22"/>
      <c r="B3" s="23"/>
      <c r="C3" s="24"/>
    </row>
    <row r="4" spans="1:3" x14ac:dyDescent="0.25">
      <c r="A4" s="25"/>
      <c r="B4" s="26"/>
      <c r="C4" s="27"/>
    </row>
    <row r="5" spans="1:3" x14ac:dyDescent="0.25">
      <c r="A5" s="25"/>
      <c r="B5" s="26"/>
      <c r="C5" s="27"/>
    </row>
    <row r="6" spans="1:3" x14ac:dyDescent="0.25">
      <c r="A6" s="25"/>
      <c r="B6" s="26"/>
      <c r="C6" s="27"/>
    </row>
    <row r="7" spans="1:3" x14ac:dyDescent="0.25">
      <c r="A7" s="25"/>
      <c r="B7" s="26"/>
      <c r="C7" s="27"/>
    </row>
    <row r="8" spans="1:3" x14ac:dyDescent="0.25">
      <c r="A8" s="25"/>
      <c r="B8" s="26"/>
      <c r="C8" s="27"/>
    </row>
    <row r="9" spans="1:3" x14ac:dyDescent="0.25">
      <c r="A9" s="25"/>
      <c r="B9" s="26"/>
      <c r="C9" s="27"/>
    </row>
    <row r="10" spans="1:3" x14ac:dyDescent="0.25">
      <c r="A10" s="25"/>
      <c r="B10" s="26"/>
      <c r="C10" s="27"/>
    </row>
    <row r="11" spans="1:3" x14ac:dyDescent="0.25">
      <c r="A11" s="25"/>
      <c r="B11" s="26"/>
      <c r="C11" s="27"/>
    </row>
    <row r="12" spans="1:3" x14ac:dyDescent="0.25">
      <c r="A12" s="25"/>
      <c r="B12" s="26"/>
      <c r="C12" s="27"/>
    </row>
    <row r="13" spans="1:3" x14ac:dyDescent="0.25">
      <c r="A13" s="25"/>
      <c r="B13" s="26"/>
      <c r="C13" s="27"/>
    </row>
    <row r="14" spans="1:3" x14ac:dyDescent="0.25">
      <c r="A14" s="25"/>
      <c r="B14" s="26"/>
      <c r="C14" s="27"/>
    </row>
    <row r="15" spans="1:3" x14ac:dyDescent="0.25">
      <c r="A15" s="25"/>
      <c r="B15" s="26"/>
      <c r="C15" s="27"/>
    </row>
    <row r="16" spans="1:3" x14ac:dyDescent="0.25">
      <c r="A16" s="25"/>
      <c r="B16" s="26"/>
      <c r="C16" s="27"/>
    </row>
    <row r="17" spans="1:3" x14ac:dyDescent="0.25">
      <c r="A17" s="25"/>
      <c r="B17" s="26"/>
      <c r="C17" s="27"/>
    </row>
    <row r="18" spans="1:3" x14ac:dyDescent="0.25">
      <c r="A18" s="25"/>
      <c r="B18" s="26"/>
      <c r="C18" s="27"/>
    </row>
    <row r="19" spans="1:3" x14ac:dyDescent="0.25">
      <c r="A19" s="25"/>
      <c r="B19" s="26"/>
      <c r="C19" s="27"/>
    </row>
    <row r="20" spans="1:3" x14ac:dyDescent="0.25">
      <c r="A20" s="28"/>
      <c r="B20" s="29"/>
      <c r="C20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6" workbookViewId="0">
      <selection activeCell="A13" sqref="A13"/>
    </sheetView>
  </sheetViews>
  <sheetFormatPr baseColWidth="10" defaultRowHeight="15" x14ac:dyDescent="0.25"/>
  <cols>
    <col min="1" max="1" width="17.5703125" bestFit="1" customWidth="1"/>
    <col min="2" max="2" width="18" customWidth="1"/>
    <col min="3" max="3" width="17.5703125" bestFit="1" customWidth="1"/>
    <col min="4" max="4" width="16.140625" bestFit="1" customWidth="1"/>
  </cols>
  <sheetData>
    <row r="1" spans="1:2" x14ac:dyDescent="0.25">
      <c r="A1" s="31" t="s">
        <v>4</v>
      </c>
      <c r="B1" t="s">
        <v>150</v>
      </c>
    </row>
    <row r="3" spans="1:2" x14ac:dyDescent="0.25">
      <c r="A3" s="31" t="s">
        <v>147</v>
      </c>
      <c r="B3" t="s">
        <v>149</v>
      </c>
    </row>
    <row r="4" spans="1:2" x14ac:dyDescent="0.25">
      <c r="A4" s="15" t="s">
        <v>127</v>
      </c>
      <c r="B4" s="9">
        <v>4</v>
      </c>
    </row>
    <row r="5" spans="1:2" x14ac:dyDescent="0.25">
      <c r="A5" s="15" t="s">
        <v>146</v>
      </c>
      <c r="B5" s="9">
        <v>7</v>
      </c>
    </row>
    <row r="6" spans="1:2" x14ac:dyDescent="0.25">
      <c r="A6" s="15" t="s">
        <v>148</v>
      </c>
      <c r="B6" s="9">
        <v>11</v>
      </c>
    </row>
    <row r="22" spans="3:4" x14ac:dyDescent="0.25">
      <c r="C22" s="31" t="s">
        <v>4</v>
      </c>
      <c r="D22" t="s">
        <v>150</v>
      </c>
    </row>
    <row r="24" spans="3:4" x14ac:dyDescent="0.25">
      <c r="C24" s="31" t="s">
        <v>147</v>
      </c>
      <c r="D24" t="s">
        <v>151</v>
      </c>
    </row>
    <row r="25" spans="3:4" x14ac:dyDescent="0.25">
      <c r="C25" s="15" t="s">
        <v>127</v>
      </c>
      <c r="D25" s="32">
        <v>7550000</v>
      </c>
    </row>
    <row r="26" spans="3:4" x14ac:dyDescent="0.25">
      <c r="C26" s="15" t="s">
        <v>146</v>
      </c>
      <c r="D26" s="32">
        <v>9300000</v>
      </c>
    </row>
    <row r="27" spans="3:4" x14ac:dyDescent="0.25">
      <c r="C27" s="15" t="s">
        <v>148</v>
      </c>
      <c r="D27" s="9">
        <v>16850000</v>
      </c>
    </row>
  </sheetData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topLeftCell="A33" workbookViewId="0">
      <selection activeCell="G49" sqref="G49"/>
    </sheetView>
  </sheetViews>
  <sheetFormatPr baseColWidth="10" defaultRowHeight="15" x14ac:dyDescent="0.25"/>
  <cols>
    <col min="1" max="1" width="17.5703125" customWidth="1"/>
    <col min="2" max="2" width="17" customWidth="1"/>
  </cols>
  <sheetData>
    <row r="1" spans="1:2" x14ac:dyDescent="0.25">
      <c r="A1" s="31" t="s">
        <v>6</v>
      </c>
      <c r="B1" t="s">
        <v>38</v>
      </c>
    </row>
    <row r="3" spans="1:2" x14ac:dyDescent="0.25">
      <c r="A3" s="31" t="s">
        <v>147</v>
      </c>
      <c r="B3" t="s">
        <v>151</v>
      </c>
    </row>
    <row r="4" spans="1:2" x14ac:dyDescent="0.25">
      <c r="A4" s="33" t="s">
        <v>20</v>
      </c>
      <c r="B4" s="34">
        <v>4000000</v>
      </c>
    </row>
    <row r="5" spans="1:2" x14ac:dyDescent="0.25">
      <c r="A5" s="33" t="s">
        <v>48</v>
      </c>
      <c r="B5" s="34">
        <v>900000</v>
      </c>
    </row>
    <row r="6" spans="1:2" x14ac:dyDescent="0.25">
      <c r="A6" s="33" t="s">
        <v>148</v>
      </c>
      <c r="B6" s="34">
        <v>4900000</v>
      </c>
    </row>
    <row r="27" spans="1:2" x14ac:dyDescent="0.25">
      <c r="A27" s="31" t="s">
        <v>6</v>
      </c>
      <c r="B27" t="s">
        <v>38</v>
      </c>
    </row>
    <row r="29" spans="1:2" x14ac:dyDescent="0.25">
      <c r="A29" s="31" t="s">
        <v>147</v>
      </c>
      <c r="B29" t="s">
        <v>152</v>
      </c>
    </row>
    <row r="30" spans="1:2" x14ac:dyDescent="0.25">
      <c r="A30" s="15" t="s">
        <v>20</v>
      </c>
      <c r="B30" s="9">
        <v>2</v>
      </c>
    </row>
    <row r="31" spans="1:2" x14ac:dyDescent="0.25">
      <c r="A31" s="15" t="s">
        <v>48</v>
      </c>
      <c r="B31" s="9">
        <v>1</v>
      </c>
    </row>
    <row r="32" spans="1:2" x14ac:dyDescent="0.25">
      <c r="A32" s="15" t="s">
        <v>148</v>
      </c>
      <c r="B32" s="9">
        <v>3</v>
      </c>
    </row>
  </sheetData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S12"/>
  <sheetViews>
    <sheetView zoomScale="180" zoomScaleNormal="180" workbookViewId="0">
      <pane ySplit="1" topLeftCell="A2" activePane="bottomLeft" state="frozen"/>
      <selection activeCell="C1" sqref="C1"/>
      <selection pane="bottomLeft" activeCell="A2" sqref="A2:S12"/>
    </sheetView>
  </sheetViews>
  <sheetFormatPr baseColWidth="10" defaultRowHeight="15" x14ac:dyDescent="0.25"/>
  <cols>
    <col min="2" max="2" width="14.28515625" bestFit="1" customWidth="1"/>
    <col min="3" max="3" width="21.5703125" customWidth="1"/>
    <col min="4" max="4" width="29.5703125" bestFit="1" customWidth="1"/>
    <col min="5" max="5" width="11.5703125" customWidth="1"/>
    <col min="6" max="6" width="20.28515625" customWidth="1"/>
    <col min="7" max="7" width="19.140625" customWidth="1"/>
    <col min="8" max="8" width="20.140625" customWidth="1"/>
    <col min="9" max="9" width="29.28515625" customWidth="1"/>
    <col min="10" max="10" width="21.42578125" bestFit="1" customWidth="1"/>
    <col min="11" max="11" width="14.5703125" customWidth="1"/>
    <col min="12" max="12" width="24.28515625" customWidth="1"/>
    <col min="13" max="13" width="10.140625" customWidth="1"/>
    <col min="14" max="14" width="11.42578125" style="11"/>
    <col min="16" max="16" width="14" style="11" customWidth="1"/>
    <col min="18" max="18" width="14.7109375" style="11" customWidth="1"/>
  </cols>
  <sheetData>
    <row r="1" spans="1:19" x14ac:dyDescent="0.25">
      <c r="A1" t="s">
        <v>2</v>
      </c>
      <c r="B1" t="s">
        <v>0</v>
      </c>
      <c r="C1" t="s">
        <v>1</v>
      </c>
      <c r="D1" t="s">
        <v>22</v>
      </c>
      <c r="E1" t="s">
        <v>145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s="10" t="s">
        <v>99</v>
      </c>
      <c r="L1" t="s">
        <v>8</v>
      </c>
      <c r="M1" s="10" t="s">
        <v>98</v>
      </c>
      <c r="N1" s="11" t="s">
        <v>117</v>
      </c>
      <c r="O1" t="s">
        <v>118</v>
      </c>
      <c r="P1" s="11" t="s">
        <v>121</v>
      </c>
      <c r="Q1" t="s">
        <v>129</v>
      </c>
      <c r="R1" s="11" t="s">
        <v>131</v>
      </c>
      <c r="S1" t="s">
        <v>139</v>
      </c>
    </row>
    <row r="2" spans="1:19" x14ac:dyDescent="0.25">
      <c r="A2">
        <v>100</v>
      </c>
      <c r="B2" t="s">
        <v>10</v>
      </c>
      <c r="C2" t="s">
        <v>9</v>
      </c>
      <c r="D2" t="str">
        <f>TblEmpleados[[#This Row],[NOMBRES]]&amp;" "&amp;TblEmpleados[[#This Row],[APELLIDOS]]</f>
        <v>YAMILE CANO GIL</v>
      </c>
      <c r="E2" t="s">
        <v>127</v>
      </c>
      <c r="F2" t="s">
        <v>11</v>
      </c>
      <c r="G2" t="s">
        <v>18</v>
      </c>
      <c r="H2" s="1">
        <v>38579</v>
      </c>
      <c r="I2" t="s">
        <v>13</v>
      </c>
      <c r="J2" t="s">
        <v>14</v>
      </c>
      <c r="K2" s="11">
        <f>VLOOKUP(TblEmpleados[[#This Row],[CARGO]],CargoySueldo,2,FALSE)</f>
        <v>1800000</v>
      </c>
      <c r="L2" t="s">
        <v>89</v>
      </c>
      <c r="M2">
        <f>IF(TblEmpleados[[#This Row],[SUELDO]]&lt;=1600000,0,IF(TblEmpleados[[#This Row],[SUELDO]]&lt;=3000000,1,2))</f>
        <v>1</v>
      </c>
      <c r="N2" s="11">
        <f>TblEmpleados[[#This Row],[SUELDO]]*(TblEmpleados[[#This Row],[%RET]]/100)</f>
        <v>18000</v>
      </c>
      <c r="O2" t="s">
        <v>119</v>
      </c>
      <c r="P2" s="11">
        <f>IF(TblEmpleados[[#This Row],[SINDICATO]]="S",IF(TblEmpleados[[#This Row],[CARGO]]="SERVICIOS GENERALES",5000,TblEmpleados[[#This Row],[SUELDO]]*(1/100)),0)</f>
        <v>18000</v>
      </c>
      <c r="Q2" t="s">
        <v>130</v>
      </c>
      <c r="R2" s="11">
        <f>IF(TblEmpleados[[#This Row],[CorpEmp]]="S",IF(TblEmpleados[[#This Row],[SUELDO]]&lt;=2500000,10000,15000),0)</f>
        <v>10000</v>
      </c>
      <c r="S2" s="11">
        <f>IF(TblEmpleados[[#This Row],[CIUDAD]]&lt;&gt;"PEREIRA",30000,IF(TblEmpleados[[#This Row],[SUELDO]]&lt;=2800000,30000,0))</f>
        <v>30000</v>
      </c>
    </row>
    <row r="3" spans="1:19" x14ac:dyDescent="0.25">
      <c r="A3">
        <v>200</v>
      </c>
      <c r="B3" t="s">
        <v>15</v>
      </c>
      <c r="C3" t="s">
        <v>16</v>
      </c>
      <c r="D3" t="str">
        <f>TblEmpleados[[#This Row],[NOMBRES]]&amp;" "&amp;TblEmpleados[[#This Row],[APELLIDOS]]</f>
        <v>ALBERTO OSPINA VARELA</v>
      </c>
      <c r="E3" t="s">
        <v>146</v>
      </c>
      <c r="F3" t="s">
        <v>17</v>
      </c>
      <c r="G3" t="s">
        <v>32</v>
      </c>
      <c r="H3" s="1">
        <v>40188</v>
      </c>
      <c r="I3" t="s">
        <v>37</v>
      </c>
      <c r="J3" t="s">
        <v>54</v>
      </c>
      <c r="K3" s="11">
        <f>VLOOKUP(TblEmpleados[[#This Row],[CARGO]],CargoySueldo,2,FALSE)</f>
        <v>750000</v>
      </c>
      <c r="L3" t="s">
        <v>21</v>
      </c>
      <c r="M3">
        <f>IF(TblEmpleados[[#This Row],[SUELDO]]&lt;=1600000,0,IF(TblEmpleados[[#This Row],[SUELDO]]&lt;=3000000,1,2))</f>
        <v>0</v>
      </c>
      <c r="N3" s="11">
        <f>TblEmpleados[[#This Row],[SUELDO]]*(TblEmpleados[[#This Row],[%RET]]/100)</f>
        <v>0</v>
      </c>
      <c r="P3" s="11">
        <f>IF(TblEmpleados[[#This Row],[SINDICATO]]="S",IF(TblEmpleados[[#This Row],[CARGO]]="SERVICIOS GENERALES",5000,TblEmpleados[[#This Row],[SUELDO]]*(1/100)),0)</f>
        <v>0</v>
      </c>
      <c r="R3" s="11">
        <f>IF(TblEmpleados[[#This Row],[CorpEmp]]="S",IF(TblEmpleados[[#This Row],[SUELDO]]&lt;=2500000,10000,15000),0)</f>
        <v>0</v>
      </c>
      <c r="S3" s="11">
        <f>IF(TblEmpleados[[#This Row],[CIUDAD]]&lt;&gt;"PEREIRA",30000,IF(TblEmpleados[[#This Row],[SUELDO]]&lt;=2800000,30000,0))</f>
        <v>30000</v>
      </c>
    </row>
    <row r="4" spans="1:19" x14ac:dyDescent="0.25">
      <c r="A4">
        <v>300</v>
      </c>
      <c r="B4" t="s">
        <v>51</v>
      </c>
      <c r="C4" t="s">
        <v>52</v>
      </c>
      <c r="D4" t="str">
        <f>TblEmpleados[[#This Row],[NOMBRES]]&amp;" "&amp;TblEmpleados[[#This Row],[APELLIDOS]]</f>
        <v>Paula Palacio Osorio</v>
      </c>
      <c r="E4" t="s">
        <v>127</v>
      </c>
      <c r="F4" t="s">
        <v>53</v>
      </c>
      <c r="G4" t="s">
        <v>32</v>
      </c>
      <c r="H4" s="1">
        <v>41065</v>
      </c>
      <c r="I4" t="s">
        <v>39</v>
      </c>
      <c r="J4" t="s">
        <v>47</v>
      </c>
      <c r="K4" s="11">
        <f>VLOOKUP(TblEmpleados[[#This Row],[CARGO]],CargoySueldo,2,FALSE)</f>
        <v>1800000</v>
      </c>
      <c r="L4" t="s">
        <v>21</v>
      </c>
      <c r="M4">
        <f>IF(TblEmpleados[[#This Row],[SUELDO]]&lt;=1600000,0,IF(TblEmpleados[[#This Row],[SUELDO]]&lt;=3000000,1,2))</f>
        <v>1</v>
      </c>
      <c r="N4" s="11">
        <f>TblEmpleados[[#This Row],[SUELDO]]*(TblEmpleados[[#This Row],[%RET]]/100)</f>
        <v>18000</v>
      </c>
      <c r="O4" t="s">
        <v>119</v>
      </c>
      <c r="P4" s="11">
        <f>IF(TblEmpleados[[#This Row],[SINDICATO]]="S",IF(TblEmpleados[[#This Row],[CARGO]]="SERVICIOS GENERALES",5000,TblEmpleados[[#This Row],[SUELDO]]*(1/100)),0)</f>
        <v>18000</v>
      </c>
      <c r="Q4" t="s">
        <v>130</v>
      </c>
      <c r="R4" s="11">
        <f>IF(TblEmpleados[[#This Row],[CorpEmp]]="S",IF(TblEmpleados[[#This Row],[SUELDO]]&lt;=2500000,10000,15000),0)</f>
        <v>10000</v>
      </c>
      <c r="S4" s="11">
        <f>IF(TblEmpleados[[#This Row],[CIUDAD]]&lt;&gt;"PEREIRA",30000,IF(TblEmpleados[[#This Row],[SUELDO]]&lt;=2800000,30000,0))</f>
        <v>30000</v>
      </c>
    </row>
    <row r="5" spans="1:19" x14ac:dyDescent="0.25">
      <c r="A5">
        <v>400</v>
      </c>
      <c r="B5" t="s">
        <v>64</v>
      </c>
      <c r="C5" t="s">
        <v>65</v>
      </c>
      <c r="D5" s="9" t="str">
        <f>TblEmpleados[[#This Row],[NOMBRES]]&amp;" "&amp;TblEmpleados[[#This Row],[APELLIDOS]]</f>
        <v>DAVID GARCIA SALAZAR</v>
      </c>
      <c r="E5" s="9" t="s">
        <v>146</v>
      </c>
      <c r="F5" t="s">
        <v>80</v>
      </c>
      <c r="G5" t="s">
        <v>12</v>
      </c>
      <c r="H5" s="1">
        <v>41680</v>
      </c>
      <c r="I5" t="s">
        <v>39</v>
      </c>
      <c r="J5" t="s">
        <v>48</v>
      </c>
      <c r="K5" s="11">
        <f>VLOOKUP(TblEmpleados[[#This Row],[CARGO]],CargoySueldo,2,FALSE)</f>
        <v>900000</v>
      </c>
      <c r="L5" t="s">
        <v>90</v>
      </c>
      <c r="M5">
        <f>IF(TblEmpleados[[#This Row],[SUELDO]]&lt;=1600000,0,IF(TblEmpleados[[#This Row],[SUELDO]]&lt;=3000000,1,2))</f>
        <v>0</v>
      </c>
      <c r="N5" s="11">
        <f>TblEmpleados[[#This Row],[SUELDO]]*(TblEmpleados[[#This Row],[%RET]]/100)</f>
        <v>0</v>
      </c>
      <c r="O5" t="s">
        <v>119</v>
      </c>
      <c r="P5" s="11">
        <f>IF(TblEmpleados[[#This Row],[SINDICATO]]="S",IF(TblEmpleados[[#This Row],[CARGO]]="SERVICIOS GENERALES",5000,TblEmpleados[[#This Row],[SUELDO]]*(1/100)),0)</f>
        <v>9000</v>
      </c>
      <c r="Q5" t="s">
        <v>130</v>
      </c>
      <c r="R5" s="11">
        <f>IF(TblEmpleados[[#This Row],[CorpEmp]]="S",IF(TblEmpleados[[#This Row],[SUELDO]]&lt;=2500000,10000,15000),0)</f>
        <v>10000</v>
      </c>
      <c r="S5" s="11">
        <f>IF(TblEmpleados[[#This Row],[CIUDAD]]&lt;&gt;"PEREIRA",30000,IF(TblEmpleados[[#This Row],[SUELDO]]&lt;=2800000,30000,0))</f>
        <v>30000</v>
      </c>
    </row>
    <row r="6" spans="1:19" x14ac:dyDescent="0.25">
      <c r="A6">
        <v>500</v>
      </c>
      <c r="B6" t="s">
        <v>66</v>
      </c>
      <c r="C6" t="s">
        <v>67</v>
      </c>
      <c r="D6" s="9" t="str">
        <f>TblEmpleados[[#This Row],[NOMBRES]]&amp;" "&amp;TblEmpleados[[#This Row],[APELLIDOS]]</f>
        <v>JUAN PABLO OROZCO HURTADO</v>
      </c>
      <c r="E6" s="9" t="s">
        <v>146</v>
      </c>
      <c r="F6" t="s">
        <v>84</v>
      </c>
      <c r="G6" t="s">
        <v>18</v>
      </c>
      <c r="H6" s="1">
        <v>40341</v>
      </c>
      <c r="I6" t="s">
        <v>38</v>
      </c>
      <c r="J6" t="s">
        <v>48</v>
      </c>
      <c r="K6" s="11">
        <f>VLOOKUP(TblEmpleados[[#This Row],[CARGO]],CargoySueldo,2,FALSE)</f>
        <v>900000</v>
      </c>
      <c r="L6" t="s">
        <v>89</v>
      </c>
      <c r="M6">
        <f>IF(TblEmpleados[[#This Row],[SUELDO]]&lt;=1600000,0,IF(TblEmpleados[[#This Row],[SUELDO]]&lt;=3000000,1,2))</f>
        <v>0</v>
      </c>
      <c r="N6" s="11">
        <f>TblEmpleados[[#This Row],[SUELDO]]*(TblEmpleados[[#This Row],[%RET]]/100)</f>
        <v>0</v>
      </c>
      <c r="P6" s="11">
        <f>IF(TblEmpleados[[#This Row],[SINDICATO]]="S",IF(TblEmpleados[[#This Row],[CARGO]]="SERVICIOS GENERALES",5000,TblEmpleados[[#This Row],[SUELDO]]*(1/100)),0)</f>
        <v>0</v>
      </c>
      <c r="R6" s="11">
        <f>IF(TblEmpleados[[#This Row],[CorpEmp]]="S",IF(TblEmpleados[[#This Row],[SUELDO]]&lt;=2500000,10000,15000),0)</f>
        <v>0</v>
      </c>
      <c r="S6" s="11">
        <f>IF(TblEmpleados[[#This Row],[CIUDAD]]&lt;&gt;"PEREIRA",30000,IF(TblEmpleados[[#This Row],[SUELDO]]&lt;=2800000,30000,0))</f>
        <v>30000</v>
      </c>
    </row>
    <row r="7" spans="1:19" x14ac:dyDescent="0.25">
      <c r="A7">
        <v>600</v>
      </c>
      <c r="B7" t="s">
        <v>68</v>
      </c>
      <c r="C7" t="s">
        <v>69</v>
      </c>
      <c r="D7" s="9" t="str">
        <f>TblEmpleados[[#This Row],[NOMBRES]]&amp;" "&amp;TblEmpleados[[#This Row],[APELLIDOS]]</f>
        <v>ORLANDO ARIAS RAMIREZ</v>
      </c>
      <c r="E7" s="9" t="s">
        <v>146</v>
      </c>
      <c r="F7" t="s">
        <v>81</v>
      </c>
      <c r="G7" t="s">
        <v>12</v>
      </c>
      <c r="H7" s="1">
        <v>41803</v>
      </c>
      <c r="I7" t="s">
        <v>13</v>
      </c>
      <c r="J7" t="s">
        <v>20</v>
      </c>
      <c r="K7" s="11">
        <f>VLOOKUP(TblEmpleados[[#This Row],[CARGO]],CargoySueldo,2,FALSE)</f>
        <v>2000000</v>
      </c>
      <c r="L7" t="s">
        <v>89</v>
      </c>
      <c r="M7">
        <f>IF(TblEmpleados[[#This Row],[SUELDO]]&lt;=1600000,0,IF(TblEmpleados[[#This Row],[SUELDO]]&lt;=3000000,1,2))</f>
        <v>1</v>
      </c>
      <c r="N7" s="11">
        <f>TblEmpleados[[#This Row],[SUELDO]]*(TblEmpleados[[#This Row],[%RET]]/100)</f>
        <v>20000</v>
      </c>
      <c r="P7" s="11">
        <f>IF(TblEmpleados[[#This Row],[SINDICATO]]="S",IF(TblEmpleados[[#This Row],[CARGO]]="SERVICIOS GENERALES",5000,TblEmpleados[[#This Row],[SUELDO]]*(1/100)),0)</f>
        <v>0</v>
      </c>
      <c r="Q7" t="s">
        <v>130</v>
      </c>
      <c r="R7" s="11">
        <f>IF(TblEmpleados[[#This Row],[CorpEmp]]="S",IF(TblEmpleados[[#This Row],[SUELDO]]&lt;=2500000,10000,15000),0)</f>
        <v>10000</v>
      </c>
      <c r="S7" s="11">
        <f>IF(TblEmpleados[[#This Row],[CIUDAD]]&lt;&gt;"PEREIRA",30000,IF(TblEmpleados[[#This Row],[SUELDO]]&lt;=2800000,30000,0))</f>
        <v>30000</v>
      </c>
    </row>
    <row r="8" spans="1:19" x14ac:dyDescent="0.25">
      <c r="A8">
        <v>700</v>
      </c>
      <c r="B8" t="s">
        <v>70</v>
      </c>
      <c r="C8" t="s">
        <v>71</v>
      </c>
      <c r="D8" s="9" t="str">
        <f>TblEmpleados[[#This Row],[NOMBRES]]&amp;" "&amp;TblEmpleados[[#This Row],[APELLIDOS]]</f>
        <v>MARTHA RIOS OSPINA</v>
      </c>
      <c r="E8" s="9" t="s">
        <v>127</v>
      </c>
      <c r="F8" t="s">
        <v>82</v>
      </c>
      <c r="G8" t="s">
        <v>12</v>
      </c>
      <c r="H8" s="1">
        <v>41151</v>
      </c>
      <c r="I8" t="s">
        <v>40</v>
      </c>
      <c r="J8" t="s">
        <v>45</v>
      </c>
      <c r="K8" s="11">
        <f>VLOOKUP(TblEmpleados[[#This Row],[CARGO]],CargoySueldo,2,FALSE)</f>
        <v>3200000</v>
      </c>
      <c r="L8" t="s">
        <v>90</v>
      </c>
      <c r="M8">
        <f>IF(TblEmpleados[[#This Row],[SUELDO]]&lt;=1600000,0,IF(TblEmpleados[[#This Row],[SUELDO]]&lt;=3000000,1,2))</f>
        <v>2</v>
      </c>
      <c r="N8" s="11">
        <f>TblEmpleados[[#This Row],[SUELDO]]*(TblEmpleados[[#This Row],[%RET]]/100)</f>
        <v>64000</v>
      </c>
      <c r="O8" t="s">
        <v>119</v>
      </c>
      <c r="P8" s="11">
        <f>IF(TblEmpleados[[#This Row],[SINDICATO]]="S",IF(TblEmpleados[[#This Row],[CARGO]]="SERVICIOS GENERALES",5000,TblEmpleados[[#This Row],[SUELDO]]*(1/100)),0)</f>
        <v>32000</v>
      </c>
      <c r="Q8" t="s">
        <v>130</v>
      </c>
      <c r="R8" s="11">
        <f>IF(TblEmpleados[[#This Row],[CorpEmp]]="S",IF(TblEmpleados[[#This Row],[SUELDO]]&lt;=2500000,10000,15000),0)</f>
        <v>15000</v>
      </c>
      <c r="S8" s="11">
        <f>IF(TblEmpleados[[#This Row],[CIUDAD]]&lt;&gt;"PEREIRA",30000,IF(TblEmpleados[[#This Row],[SUELDO]]&lt;=2800000,30000,0))</f>
        <v>0</v>
      </c>
    </row>
    <row r="9" spans="1:19" x14ac:dyDescent="0.25">
      <c r="A9">
        <v>800</v>
      </c>
      <c r="B9" t="s">
        <v>72</v>
      </c>
      <c r="C9" t="s">
        <v>73</v>
      </c>
      <c r="D9" s="9" t="str">
        <f>TblEmpleados[[#This Row],[NOMBRES]]&amp;" "&amp;TblEmpleados[[#This Row],[APELLIDOS]]</f>
        <v>Ivan Alexander Londoño Orozco</v>
      </c>
      <c r="E9" s="9" t="s">
        <v>146</v>
      </c>
      <c r="F9" t="s">
        <v>85</v>
      </c>
      <c r="G9" t="s">
        <v>31</v>
      </c>
      <c r="H9" s="1">
        <v>40318</v>
      </c>
      <c r="I9" t="s">
        <v>38</v>
      </c>
      <c r="J9" t="s">
        <v>20</v>
      </c>
      <c r="K9" s="11">
        <f>VLOOKUP(TblEmpleados[[#This Row],[CARGO]],CargoySueldo,2,FALSE)</f>
        <v>2000000</v>
      </c>
      <c r="L9" t="s">
        <v>89</v>
      </c>
      <c r="M9">
        <f>IF(TblEmpleados[[#This Row],[SUELDO]]&lt;=1600000,0,IF(TblEmpleados[[#This Row],[SUELDO]]&lt;=3000000,1,2))</f>
        <v>1</v>
      </c>
      <c r="N9" s="11">
        <f>TblEmpleados[[#This Row],[SUELDO]]*(TblEmpleados[[#This Row],[%RET]]/100)</f>
        <v>20000</v>
      </c>
      <c r="P9" s="11">
        <f>IF(TblEmpleados[[#This Row],[SINDICATO]]="S",IF(TblEmpleados[[#This Row],[CARGO]]="SERVICIOS GENERALES",5000,TblEmpleados[[#This Row],[SUELDO]]*(1/100)),0)</f>
        <v>0</v>
      </c>
      <c r="R9" s="11">
        <f>IF(TblEmpleados[[#This Row],[CorpEmp]]="S",IF(TblEmpleados[[#This Row],[SUELDO]]&lt;=2500000,10000,15000),0)</f>
        <v>0</v>
      </c>
      <c r="S9" s="11">
        <f>IF(TblEmpleados[[#This Row],[CIUDAD]]&lt;&gt;"PEREIRA",30000,IF(TblEmpleados[[#This Row],[SUELDO]]&lt;=2800000,30000,0))</f>
        <v>30000</v>
      </c>
    </row>
    <row r="10" spans="1:19" x14ac:dyDescent="0.25">
      <c r="A10">
        <v>900</v>
      </c>
      <c r="B10" t="s">
        <v>74</v>
      </c>
      <c r="C10" t="s">
        <v>75</v>
      </c>
      <c r="D10" s="9" t="str">
        <f>TblEmpleados[[#This Row],[NOMBRES]]&amp;" "&amp;TblEmpleados[[#This Row],[APELLIDOS]]</f>
        <v>Natalia Hurtado Londoño</v>
      </c>
      <c r="E10" s="9" t="s">
        <v>127</v>
      </c>
      <c r="F10" t="s">
        <v>83</v>
      </c>
      <c r="G10" t="s">
        <v>12</v>
      </c>
      <c r="H10" s="1">
        <v>39934</v>
      </c>
      <c r="I10" t="s">
        <v>39</v>
      </c>
      <c r="J10" t="s">
        <v>54</v>
      </c>
      <c r="K10" s="11">
        <f>VLOOKUP(TblEmpleados[[#This Row],[CARGO]],CargoySueldo,2,FALSE)</f>
        <v>750000</v>
      </c>
      <c r="L10" t="s">
        <v>21</v>
      </c>
      <c r="M10">
        <f>IF(TblEmpleados[[#This Row],[SUELDO]]&lt;=1600000,0,IF(TblEmpleados[[#This Row],[SUELDO]]&lt;=3000000,1,2))</f>
        <v>0</v>
      </c>
      <c r="N10" s="11">
        <f>TblEmpleados[[#This Row],[SUELDO]]*(TblEmpleados[[#This Row],[%RET]]/100)</f>
        <v>0</v>
      </c>
      <c r="P10" s="11">
        <f>IF(TblEmpleados[[#This Row],[SINDICATO]]="S",IF(TblEmpleados[[#This Row],[CARGO]]="SERVICIOS GENERALES",5000,TblEmpleados[[#This Row],[SUELDO]]*(1/100)),0)</f>
        <v>0</v>
      </c>
      <c r="Q10" t="s">
        <v>130</v>
      </c>
      <c r="R10" s="11">
        <f>IF(TblEmpleados[[#This Row],[CorpEmp]]="S",IF(TblEmpleados[[#This Row],[SUELDO]]&lt;=2500000,10000,15000),0)</f>
        <v>10000</v>
      </c>
      <c r="S10" s="11">
        <f>IF(TblEmpleados[[#This Row],[CIUDAD]]&lt;&gt;"PEREIRA",30000,IF(TblEmpleados[[#This Row],[SUELDO]]&lt;=2800000,30000,0))</f>
        <v>30000</v>
      </c>
    </row>
    <row r="11" spans="1:19" x14ac:dyDescent="0.25">
      <c r="A11">
        <v>1000</v>
      </c>
      <c r="B11" t="s">
        <v>76</v>
      </c>
      <c r="C11" t="s">
        <v>77</v>
      </c>
      <c r="D11" s="9" t="str">
        <f>TblEmpleados[[#This Row],[NOMBRES]]&amp;" "&amp;TblEmpleados[[#This Row],[APELLIDOS]]</f>
        <v>Juan Plablo Galeano Garcia</v>
      </c>
      <c r="E11" s="9" t="s">
        <v>146</v>
      </c>
      <c r="F11" t="s">
        <v>86</v>
      </c>
      <c r="G11" t="s">
        <v>12</v>
      </c>
      <c r="H11" s="1">
        <v>36783</v>
      </c>
      <c r="I11" t="s">
        <v>38</v>
      </c>
      <c r="J11" t="s">
        <v>20</v>
      </c>
      <c r="K11" s="11">
        <f>VLOOKUP(TblEmpleados[[#This Row],[CARGO]],CargoySueldo,2,FALSE)</f>
        <v>2000000</v>
      </c>
      <c r="L11" t="s">
        <v>21</v>
      </c>
      <c r="M11">
        <f>IF(TblEmpleados[[#This Row],[SUELDO]]&lt;=1600000,0,IF(TblEmpleados[[#This Row],[SUELDO]]&lt;=3000000,1,2))</f>
        <v>1</v>
      </c>
      <c r="N11" s="11">
        <f>TblEmpleados[[#This Row],[SUELDO]]*(TblEmpleados[[#This Row],[%RET]]/100)</f>
        <v>20000</v>
      </c>
      <c r="O11" t="s">
        <v>119</v>
      </c>
      <c r="P11" s="11">
        <f>IF(TblEmpleados[[#This Row],[SINDICATO]]="S",IF(TblEmpleados[[#This Row],[CARGO]]="SERVICIOS GENERALES",5000,TblEmpleados[[#This Row],[SUELDO]]*(1/100)),0)</f>
        <v>20000</v>
      </c>
      <c r="R11" s="11">
        <f>IF(TblEmpleados[[#This Row],[CorpEmp]]="S",IF(TblEmpleados[[#This Row],[SUELDO]]&lt;=2500000,10000,15000),0)</f>
        <v>0</v>
      </c>
      <c r="S11" s="11">
        <f>IF(TblEmpleados[[#This Row],[CIUDAD]]&lt;&gt;"PEREIRA",30000,IF(TblEmpleados[[#This Row],[SUELDO]]&lt;=2800000,30000,0))</f>
        <v>30000</v>
      </c>
    </row>
    <row r="12" spans="1:19" x14ac:dyDescent="0.25">
      <c r="A12">
        <v>1100</v>
      </c>
      <c r="B12" t="s">
        <v>78</v>
      </c>
      <c r="C12" t="s">
        <v>79</v>
      </c>
      <c r="D12" s="9" t="str">
        <f>TblEmpleados[[#This Row],[NOMBRES]]&amp;" "&amp;TblEmpleados[[#This Row],[APELLIDOS]]</f>
        <v>Alexander Santacruz Ortiz</v>
      </c>
      <c r="E12" s="9" t="s">
        <v>146</v>
      </c>
      <c r="F12" t="s">
        <v>87</v>
      </c>
      <c r="G12" t="s">
        <v>18</v>
      </c>
      <c r="H12" s="1">
        <v>41502</v>
      </c>
      <c r="I12" t="s">
        <v>37</v>
      </c>
      <c r="J12" t="s">
        <v>54</v>
      </c>
      <c r="K12" s="11">
        <f>VLOOKUP(TblEmpleados[[#This Row],[CARGO]],CargoySueldo,2,FALSE)</f>
        <v>750000</v>
      </c>
      <c r="L12" t="s">
        <v>21</v>
      </c>
      <c r="M12">
        <f>IF(TblEmpleados[[#This Row],[SUELDO]]&lt;=1600000,0,IF(TblEmpleados[[#This Row],[SUELDO]]&lt;=3000000,1,2))</f>
        <v>0</v>
      </c>
      <c r="N12" s="11">
        <f>TblEmpleados[[#This Row],[SUELDO]]*(TblEmpleados[[#This Row],[%RET]]/100)</f>
        <v>0</v>
      </c>
      <c r="O12" t="s">
        <v>119</v>
      </c>
      <c r="P12" s="11">
        <f>IF(TblEmpleados[[#This Row],[SINDICATO]]="S",IF(TblEmpleados[[#This Row],[CARGO]]="SERVICIOS GENERALES",5000,TblEmpleados[[#This Row],[SUELDO]]*(1/100)),0)</f>
        <v>5000</v>
      </c>
      <c r="Q12" t="s">
        <v>130</v>
      </c>
      <c r="R12" s="11">
        <f>IF(TblEmpleados[[#This Row],[CorpEmp]]="S",IF(TblEmpleados[[#This Row],[SUELDO]]&lt;=2500000,10000,15000),0)</f>
        <v>10000</v>
      </c>
      <c r="S12" s="11">
        <f>IF(TblEmpleados[[#This Row],[CIUDAD]]&lt;&gt;"PEREIRA",30000,IF(TblEmpleados[[#This Row],[SUELDO]]&lt;=2800000,30000,0))</f>
        <v>30000</v>
      </c>
    </row>
  </sheetData>
  <conditionalFormatting sqref="K1:K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{96D15A1F-A019-41AA-BFA2-9DD224B8A68C}</x14:id>
        </ext>
      </extLst>
    </cfRule>
  </conditionalFormatting>
  <dataValidations count="4">
    <dataValidation type="list" allowBlank="1" showInputMessage="1" showErrorMessage="1" sqref="G1:G1048576">
      <formula1>Ciudades</formula1>
    </dataValidation>
    <dataValidation type="list" allowBlank="1" showInputMessage="1" showErrorMessage="1" sqref="I1:I1048576">
      <formula1>Dependencias</formula1>
    </dataValidation>
    <dataValidation type="list" allowBlank="1" showInputMessage="1" showErrorMessage="1" sqref="J1:J1048576 K1 K13:K1048576">
      <formula1>Cargos</formula1>
    </dataValidation>
    <dataValidation type="list" allowBlank="1" showInputMessage="1" showErrorMessage="1" sqref="L2:L12">
      <formula1>TipoContratos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6D15A1F-A019-41AA-BFA2-9DD224B8A6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K1:K1048576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3"/>
  <sheetViews>
    <sheetView zoomScale="140" zoomScaleNormal="140" workbookViewId="0">
      <selection activeCell="F3" sqref="F3"/>
    </sheetView>
  </sheetViews>
  <sheetFormatPr baseColWidth="10" defaultRowHeight="15" x14ac:dyDescent="0.25"/>
  <cols>
    <col min="1" max="1" width="18.42578125" customWidth="1"/>
    <col min="3" max="3" width="25" bestFit="1" customWidth="1"/>
    <col min="5" max="5" width="28.42578125" customWidth="1"/>
    <col min="6" max="6" width="15" customWidth="1"/>
    <col min="7" max="7" width="26" customWidth="1"/>
  </cols>
  <sheetData>
    <row r="1" spans="1:7" x14ac:dyDescent="0.25">
      <c r="A1" s="4" t="s">
        <v>29</v>
      </c>
      <c r="C1" s="4" t="s">
        <v>34</v>
      </c>
      <c r="E1" s="4" t="s">
        <v>35</v>
      </c>
      <c r="F1" t="s">
        <v>99</v>
      </c>
      <c r="G1" s="4" t="s">
        <v>88</v>
      </c>
    </row>
    <row r="2" spans="1:7" x14ac:dyDescent="0.25">
      <c r="A2" t="s">
        <v>12</v>
      </c>
      <c r="C2" s="2" t="s">
        <v>13</v>
      </c>
      <c r="E2" s="2" t="s">
        <v>14</v>
      </c>
      <c r="F2" s="11">
        <v>1800000</v>
      </c>
      <c r="G2" t="s">
        <v>21</v>
      </c>
    </row>
    <row r="3" spans="1:7" x14ac:dyDescent="0.25">
      <c r="A3" t="s">
        <v>28</v>
      </c>
      <c r="C3" s="3" t="s">
        <v>19</v>
      </c>
      <c r="E3" s="3" t="s">
        <v>20</v>
      </c>
      <c r="F3" s="11">
        <v>2000000</v>
      </c>
      <c r="G3" t="s">
        <v>89</v>
      </c>
    </row>
    <row r="4" spans="1:7" x14ac:dyDescent="0.25">
      <c r="A4" t="s">
        <v>30</v>
      </c>
      <c r="C4" t="s">
        <v>36</v>
      </c>
      <c r="E4" t="s">
        <v>44</v>
      </c>
      <c r="F4" s="11">
        <v>2500000</v>
      </c>
      <c r="G4" t="s">
        <v>90</v>
      </c>
    </row>
    <row r="5" spans="1:7" x14ac:dyDescent="0.25">
      <c r="A5" t="s">
        <v>31</v>
      </c>
      <c r="C5" t="s">
        <v>37</v>
      </c>
      <c r="E5" t="s">
        <v>45</v>
      </c>
      <c r="F5" s="11">
        <v>3200000</v>
      </c>
      <c r="G5" t="s">
        <v>91</v>
      </c>
    </row>
    <row r="6" spans="1:7" x14ac:dyDescent="0.25">
      <c r="A6" t="s">
        <v>18</v>
      </c>
      <c r="C6" t="s">
        <v>38</v>
      </c>
      <c r="E6" t="s">
        <v>46</v>
      </c>
      <c r="F6" s="11">
        <v>2500000</v>
      </c>
    </row>
    <row r="7" spans="1:7" x14ac:dyDescent="0.25">
      <c r="A7" t="s">
        <v>32</v>
      </c>
      <c r="C7" t="s">
        <v>39</v>
      </c>
      <c r="E7" t="s">
        <v>47</v>
      </c>
      <c r="F7" s="11">
        <v>1800000</v>
      </c>
    </row>
    <row r="8" spans="1:7" x14ac:dyDescent="0.25">
      <c r="A8" t="s">
        <v>33</v>
      </c>
      <c r="C8" t="s">
        <v>40</v>
      </c>
      <c r="E8" t="s">
        <v>48</v>
      </c>
      <c r="F8" s="11">
        <v>900000</v>
      </c>
    </row>
    <row r="9" spans="1:7" x14ac:dyDescent="0.25">
      <c r="A9" t="s">
        <v>27</v>
      </c>
      <c r="C9" t="s">
        <v>41</v>
      </c>
      <c r="E9" t="s">
        <v>49</v>
      </c>
      <c r="F9" s="11">
        <v>5000000</v>
      </c>
    </row>
    <row r="10" spans="1:7" x14ac:dyDescent="0.25">
      <c r="C10" t="s">
        <v>42</v>
      </c>
      <c r="E10" t="s">
        <v>50</v>
      </c>
      <c r="F10" s="11">
        <v>800000</v>
      </c>
    </row>
    <row r="11" spans="1:7" x14ac:dyDescent="0.25">
      <c r="C11" t="s">
        <v>43</v>
      </c>
      <c r="E11" t="s">
        <v>54</v>
      </c>
      <c r="F11" s="11">
        <v>750000</v>
      </c>
    </row>
    <row r="12" spans="1:7" x14ac:dyDescent="0.25">
      <c r="F12" s="11"/>
    </row>
    <row r="13" spans="1:7" x14ac:dyDescent="0.25">
      <c r="F13" s="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U11"/>
  <sheetViews>
    <sheetView topLeftCell="Q1" zoomScale="170" zoomScaleNormal="170" workbookViewId="0">
      <selection activeCell="U6" sqref="U6"/>
    </sheetView>
  </sheetViews>
  <sheetFormatPr baseColWidth="10" defaultRowHeight="15" x14ac:dyDescent="0.25"/>
  <cols>
    <col min="2" max="2" width="15" customWidth="1"/>
    <col min="3" max="3" width="11.85546875" bestFit="1" customWidth="1"/>
    <col min="4" max="4" width="16" customWidth="1"/>
    <col min="5" max="5" width="14.5703125" customWidth="1"/>
    <col min="7" max="7" width="13.140625" customWidth="1"/>
    <col min="8" max="8" width="14" customWidth="1"/>
    <col min="9" max="9" width="16.42578125" customWidth="1"/>
    <col min="10" max="10" width="13.42578125" customWidth="1"/>
  </cols>
  <sheetData>
    <row r="1" spans="1:21" x14ac:dyDescent="0.25">
      <c r="A1" s="5" t="s">
        <v>4</v>
      </c>
      <c r="B1" s="5" t="s">
        <v>0</v>
      </c>
      <c r="C1" s="5" t="s">
        <v>1</v>
      </c>
      <c r="D1" s="5" t="s">
        <v>22</v>
      </c>
      <c r="G1" s="12" t="s">
        <v>4</v>
      </c>
      <c r="H1" s="12" t="s">
        <v>100</v>
      </c>
      <c r="I1" s="12" t="s">
        <v>101</v>
      </c>
      <c r="J1" s="12" t="s">
        <v>102</v>
      </c>
      <c r="K1" s="12" t="s">
        <v>110</v>
      </c>
    </row>
    <row r="2" spans="1:21" x14ac:dyDescent="0.25">
      <c r="A2" s="6" t="s">
        <v>28</v>
      </c>
      <c r="B2" s="6" t="s">
        <v>23</v>
      </c>
      <c r="C2" s="6" t="s">
        <v>24</v>
      </c>
      <c r="D2" s="6" t="str">
        <f>CONCATENATE(B2," ",C2," (",A2,")")</f>
        <v>JUAN PEREZ (ARMENIA)</v>
      </c>
      <c r="G2" t="s">
        <v>12</v>
      </c>
      <c r="H2">
        <v>550000</v>
      </c>
      <c r="I2" t="s">
        <v>103</v>
      </c>
      <c r="J2">
        <v>1300</v>
      </c>
      <c r="K2" t="s">
        <v>111</v>
      </c>
      <c r="Q2" t="s">
        <v>134</v>
      </c>
      <c r="R2" t="s">
        <v>132</v>
      </c>
      <c r="S2" t="s">
        <v>133</v>
      </c>
      <c r="T2" t="s">
        <v>138</v>
      </c>
    </row>
    <row r="3" spans="1:21" x14ac:dyDescent="0.25">
      <c r="A3" s="6" t="s">
        <v>27</v>
      </c>
      <c r="B3" s="6" t="s">
        <v>25</v>
      </c>
      <c r="C3" s="6" t="s">
        <v>26</v>
      </c>
      <c r="D3" s="6" t="str">
        <f>B3&amp;" "&amp;C3&amp;" ("&amp;A3&amp;")"</f>
        <v>CARLOS CASTAÑO (CALI)</v>
      </c>
      <c r="G3" t="s">
        <v>28</v>
      </c>
      <c r="H3">
        <v>450000</v>
      </c>
      <c r="I3" t="s">
        <v>104</v>
      </c>
      <c r="J3">
        <v>1250</v>
      </c>
      <c r="K3" t="s">
        <v>111</v>
      </c>
      <c r="M3" t="s">
        <v>122</v>
      </c>
      <c r="N3" t="s">
        <v>123</v>
      </c>
      <c r="O3" t="s">
        <v>124</v>
      </c>
      <c r="P3" t="s">
        <v>125</v>
      </c>
      <c r="Q3" t="s">
        <v>23</v>
      </c>
      <c r="R3">
        <v>1</v>
      </c>
      <c r="S3">
        <v>500</v>
      </c>
      <c r="T3">
        <f>IF(R3=2,IF(S3&gt;=300,10,0),0)</f>
        <v>0</v>
      </c>
      <c r="U3">
        <f>IF(AND(R3=2,S3&gt;=300),10,0)</f>
        <v>0</v>
      </c>
    </row>
    <row r="4" spans="1:21" x14ac:dyDescent="0.25">
      <c r="G4" t="s">
        <v>30</v>
      </c>
      <c r="H4">
        <v>500000</v>
      </c>
      <c r="I4" t="s">
        <v>105</v>
      </c>
      <c r="J4">
        <v>1450</v>
      </c>
      <c r="K4" t="s">
        <v>112</v>
      </c>
      <c r="M4" t="s">
        <v>126</v>
      </c>
      <c r="O4" t="s">
        <v>126</v>
      </c>
      <c r="P4" t="s">
        <v>126</v>
      </c>
      <c r="Q4" t="s">
        <v>135</v>
      </c>
      <c r="R4">
        <v>2</v>
      </c>
      <c r="S4">
        <v>200</v>
      </c>
      <c r="T4">
        <f t="shared" ref="T4:T5" si="0">IF(R4=2,IF(S4&gt;=300,10,0),0)</f>
        <v>0</v>
      </c>
      <c r="U4">
        <f t="shared" ref="U4:U5" si="1">IF(AND(R4=2,S4&gt;=300),10,0)</f>
        <v>0</v>
      </c>
    </row>
    <row r="5" spans="1:21" x14ac:dyDescent="0.25">
      <c r="B5" t="s">
        <v>97</v>
      </c>
      <c r="C5" s="10" t="s">
        <v>95</v>
      </c>
      <c r="D5" t="s">
        <v>96</v>
      </c>
      <c r="G5" t="s">
        <v>27</v>
      </c>
      <c r="H5">
        <v>1200000</v>
      </c>
      <c r="I5" t="s">
        <v>113</v>
      </c>
      <c r="J5">
        <v>1000</v>
      </c>
      <c r="K5" t="s">
        <v>114</v>
      </c>
      <c r="M5" t="s">
        <v>127</v>
      </c>
      <c r="O5" t="s">
        <v>126</v>
      </c>
      <c r="P5" t="s">
        <v>127</v>
      </c>
      <c r="Q5" t="s">
        <v>136</v>
      </c>
      <c r="R5">
        <v>1</v>
      </c>
      <c r="S5">
        <v>500</v>
      </c>
      <c r="T5">
        <f t="shared" si="0"/>
        <v>0</v>
      </c>
      <c r="U5">
        <f t="shared" si="1"/>
        <v>0</v>
      </c>
    </row>
    <row r="6" spans="1:21" x14ac:dyDescent="0.25">
      <c r="A6" t="s">
        <v>92</v>
      </c>
      <c r="B6">
        <v>2000</v>
      </c>
      <c r="C6">
        <f>IF(A6="YUCA",2,5)</f>
        <v>5</v>
      </c>
      <c r="D6" s="11">
        <f>IF(B6 &gt; 2005,50000,100000)</f>
        <v>100000</v>
      </c>
      <c r="M6" t="s">
        <v>126</v>
      </c>
      <c r="O6" t="s">
        <v>127</v>
      </c>
      <c r="P6" t="s">
        <v>127</v>
      </c>
      <c r="Q6" t="s">
        <v>137</v>
      </c>
      <c r="R6">
        <v>2</v>
      </c>
      <c r="S6">
        <v>300</v>
      </c>
      <c r="T6">
        <f>IF(R6=2,IF(S6&gt;=300,10,0),0)</f>
        <v>10</v>
      </c>
      <c r="U6">
        <f>IF(AND(R6=2,S6&gt;=300),10,0)</f>
        <v>10</v>
      </c>
    </row>
    <row r="7" spans="1:21" x14ac:dyDescent="0.25">
      <c r="A7" t="s">
        <v>93</v>
      </c>
      <c r="B7">
        <v>2010</v>
      </c>
      <c r="C7">
        <f t="shared" ref="C7:C8" si="2">IF(A7="YUCA",2,5)</f>
        <v>2</v>
      </c>
      <c r="D7" s="11">
        <f t="shared" ref="D7:D8" si="3">IF(B7 &gt; 2005,50000,100000)</f>
        <v>50000</v>
      </c>
      <c r="M7" t="s">
        <v>126</v>
      </c>
      <c r="N7" t="s">
        <v>120</v>
      </c>
      <c r="O7" t="s">
        <v>126</v>
      </c>
      <c r="P7" t="s">
        <v>126</v>
      </c>
    </row>
    <row r="8" spans="1:21" x14ac:dyDescent="0.25">
      <c r="A8" t="s">
        <v>94</v>
      </c>
      <c r="B8">
        <v>2015</v>
      </c>
      <c r="C8">
        <f t="shared" si="2"/>
        <v>5</v>
      </c>
      <c r="D8" s="11">
        <f t="shared" si="3"/>
        <v>50000</v>
      </c>
      <c r="M8" t="s">
        <v>126</v>
      </c>
      <c r="O8" t="s">
        <v>127</v>
      </c>
      <c r="P8" t="s">
        <v>126</v>
      </c>
    </row>
    <row r="9" spans="1:21" x14ac:dyDescent="0.25">
      <c r="M9" t="s">
        <v>127</v>
      </c>
      <c r="O9" t="s">
        <v>126</v>
      </c>
      <c r="P9" t="s">
        <v>126</v>
      </c>
    </row>
    <row r="11" spans="1:21" x14ac:dyDescent="0.25">
      <c r="A11" t="s">
        <v>4</v>
      </c>
      <c r="B11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B5"/>
  <sheetViews>
    <sheetView zoomScale="180" zoomScaleNormal="180" workbookViewId="0">
      <selection activeCell="B5" sqref="B5"/>
    </sheetView>
  </sheetViews>
  <sheetFormatPr baseColWidth="10" defaultRowHeight="15" x14ac:dyDescent="0.25"/>
  <cols>
    <col min="1" max="1" width="28.7109375" customWidth="1"/>
    <col min="2" max="2" width="23.140625" customWidth="1"/>
  </cols>
  <sheetData>
    <row r="1" spans="1:2" x14ac:dyDescent="0.25">
      <c r="A1" s="13" t="s">
        <v>106</v>
      </c>
      <c r="B1" s="14" t="s">
        <v>116</v>
      </c>
    </row>
    <row r="2" spans="1:2" x14ac:dyDescent="0.25">
      <c r="A2" s="13" t="s">
        <v>107</v>
      </c>
      <c r="B2" s="11">
        <f>VLOOKUP($B$1,CiudadyPoblacion,2,FALSE)</f>
        <v>1200000</v>
      </c>
    </row>
    <row r="3" spans="1:2" x14ac:dyDescent="0.25">
      <c r="A3" s="13" t="s">
        <v>108</v>
      </c>
      <c r="B3" s="11" t="str">
        <f>VLOOKUP($B$1,CiudadyPoblacion,3,FALSE)</f>
        <v>CAÑA, ALGODÓN</v>
      </c>
    </row>
    <row r="4" spans="1:2" x14ac:dyDescent="0.25">
      <c r="A4" s="13" t="s">
        <v>109</v>
      </c>
      <c r="B4" s="11">
        <f>VLOOKUP($B$1,CiudadyPoblacion,4,FALSE)</f>
        <v>1000</v>
      </c>
    </row>
    <row r="5" spans="1:2" x14ac:dyDescent="0.25">
      <c r="A5" s="13" t="s">
        <v>115</v>
      </c>
      <c r="B5" s="11" t="str">
        <f>VLOOKUP($B$1,CiudadyPoblacion,5,FALSE)</f>
        <v>CALIDO</v>
      </c>
    </row>
  </sheetData>
  <conditionalFormatting sqref="B5">
    <cfRule type="cellIs" dxfId="51" priority="1" operator="equal">
      <formula>"TEMPLADO"</formula>
    </cfRule>
    <cfRule type="cellIs" dxfId="50" priority="2" operator="equal">
      <formula>"CALIDO"</formula>
    </cfRule>
    <cfRule type="cellIs" dxfId="49" priority="3" operator="equal">
      <formula>"FRIO"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C32"/>
  <sheetViews>
    <sheetView topLeftCell="A23" zoomScale="160" zoomScaleNormal="160" workbookViewId="0">
      <selection activeCell="A28" sqref="A28:C28"/>
    </sheetView>
  </sheetViews>
  <sheetFormatPr baseColWidth="10" defaultRowHeight="15" x14ac:dyDescent="0.25"/>
  <cols>
    <col min="1" max="1" width="26.140625" customWidth="1"/>
  </cols>
  <sheetData>
    <row r="1" spans="1:3" ht="15.75" x14ac:dyDescent="0.25">
      <c r="A1" s="16" t="s">
        <v>55</v>
      </c>
      <c r="B1" s="16"/>
      <c r="C1" s="16"/>
    </row>
    <row r="2" spans="1:3" x14ac:dyDescent="0.25">
      <c r="A2" s="17" t="s">
        <v>56</v>
      </c>
      <c r="B2" s="17"/>
      <c r="C2" s="17"/>
    </row>
    <row r="3" spans="1:3" x14ac:dyDescent="0.25">
      <c r="A3" s="8" t="s">
        <v>57</v>
      </c>
      <c r="B3" s="8" t="s">
        <v>58</v>
      </c>
    </row>
    <row r="4" spans="1:3" x14ac:dyDescent="0.25">
      <c r="A4" s="6" t="s">
        <v>59</v>
      </c>
      <c r="B4" s="7">
        <v>0</v>
      </c>
    </row>
    <row r="5" spans="1:3" x14ac:dyDescent="0.25">
      <c r="A5" s="6" t="s">
        <v>60</v>
      </c>
      <c r="B5" s="7">
        <v>1</v>
      </c>
    </row>
    <row r="6" spans="1:3" x14ac:dyDescent="0.25">
      <c r="A6" s="6" t="s">
        <v>61</v>
      </c>
      <c r="B6" s="7">
        <v>2</v>
      </c>
    </row>
    <row r="9" spans="1:3" x14ac:dyDescent="0.25">
      <c r="A9" s="18" t="s">
        <v>62</v>
      </c>
      <c r="B9" s="18"/>
      <c r="C9" s="18"/>
    </row>
    <row r="10" spans="1:3" x14ac:dyDescent="0.25">
      <c r="A10" s="18"/>
      <c r="B10" s="18"/>
      <c r="C10" s="18"/>
    </row>
    <row r="11" spans="1:3" x14ac:dyDescent="0.25">
      <c r="A11" s="18"/>
      <c r="B11" s="18"/>
      <c r="C11" s="18"/>
    </row>
    <row r="12" spans="1:3" x14ac:dyDescent="0.25">
      <c r="A12" s="18"/>
      <c r="B12" s="18"/>
      <c r="C12" s="18"/>
    </row>
    <row r="13" spans="1:3" x14ac:dyDescent="0.25">
      <c r="A13" s="18"/>
      <c r="B13" s="18"/>
      <c r="C13" s="18"/>
    </row>
    <row r="14" spans="1:3" ht="5.25" customHeight="1" x14ac:dyDescent="0.25">
      <c r="A14" s="18"/>
      <c r="B14" s="18"/>
      <c r="C14" s="18"/>
    </row>
    <row r="15" spans="1:3" ht="1.5" customHeight="1" x14ac:dyDescent="0.25">
      <c r="A15" s="18"/>
      <c r="B15" s="18"/>
      <c r="C15" s="18"/>
    </row>
    <row r="17" spans="1:3" x14ac:dyDescent="0.25">
      <c r="A17" s="18" t="s">
        <v>63</v>
      </c>
      <c r="B17" s="18"/>
      <c r="C17" s="18"/>
    </row>
    <row r="18" spans="1:3" x14ac:dyDescent="0.25">
      <c r="A18" s="18"/>
      <c r="B18" s="18"/>
      <c r="C18" s="18"/>
    </row>
    <row r="19" spans="1:3" ht="50.25" customHeight="1" x14ac:dyDescent="0.25">
      <c r="A19" s="18"/>
      <c r="B19" s="18"/>
      <c r="C19" s="18"/>
    </row>
    <row r="21" spans="1:3" x14ac:dyDescent="0.25">
      <c r="A21" s="18" t="s">
        <v>128</v>
      </c>
      <c r="B21" s="18"/>
      <c r="C21" s="18"/>
    </row>
    <row r="22" spans="1:3" x14ac:dyDescent="0.25">
      <c r="A22" s="18"/>
      <c r="B22" s="18"/>
      <c r="C22" s="18"/>
    </row>
    <row r="23" spans="1:3" x14ac:dyDescent="0.25">
      <c r="A23" s="18"/>
      <c r="B23" s="18"/>
      <c r="C23" s="18"/>
    </row>
    <row r="25" spans="1:3" x14ac:dyDescent="0.25">
      <c r="A25" s="21" t="s">
        <v>140</v>
      </c>
    </row>
    <row r="26" spans="1:3" ht="27.75" customHeight="1" x14ac:dyDescent="0.25">
      <c r="A26" s="20" t="s">
        <v>141</v>
      </c>
      <c r="B26" s="20"/>
      <c r="C26" s="20"/>
    </row>
    <row r="27" spans="1:3" x14ac:dyDescent="0.25">
      <c r="A27" s="19"/>
      <c r="B27" s="19"/>
      <c r="C27" s="19"/>
    </row>
    <row r="28" spans="1:3" ht="27" customHeight="1" x14ac:dyDescent="0.25">
      <c r="A28" s="20" t="s">
        <v>142</v>
      </c>
      <c r="B28" s="20"/>
      <c r="C28" s="20"/>
    </row>
    <row r="29" spans="1:3" x14ac:dyDescent="0.25">
      <c r="A29" s="19"/>
      <c r="B29" s="19"/>
      <c r="C29" s="19"/>
    </row>
    <row r="30" spans="1:3" ht="34.5" customHeight="1" x14ac:dyDescent="0.25">
      <c r="A30" s="20" t="s">
        <v>143</v>
      </c>
      <c r="B30" s="20"/>
      <c r="C30" s="20"/>
    </row>
    <row r="31" spans="1:3" x14ac:dyDescent="0.25">
      <c r="A31" s="19"/>
      <c r="B31" s="19"/>
      <c r="C31" s="19"/>
    </row>
    <row r="32" spans="1:3" ht="32.25" customHeight="1" x14ac:dyDescent="0.25">
      <c r="A32" s="20" t="s">
        <v>144</v>
      </c>
      <c r="B32" s="20"/>
      <c r="C32" s="20"/>
    </row>
  </sheetData>
  <mergeCells count="12">
    <mergeCell ref="A31:C31"/>
    <mergeCell ref="A32:C32"/>
    <mergeCell ref="A26:C26"/>
    <mergeCell ref="A27:C27"/>
    <mergeCell ref="A28:C28"/>
    <mergeCell ref="A29:C29"/>
    <mergeCell ref="A30:C30"/>
    <mergeCell ref="A1:C1"/>
    <mergeCell ref="A2:C2"/>
    <mergeCell ref="A9:C15"/>
    <mergeCell ref="A17:C19"/>
    <mergeCell ref="A21:C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xx</vt:lpstr>
      <vt:lpstr>GrafDinam Por generoxSueldo</vt:lpstr>
      <vt:lpstr>GrafDinam EmpxCargoy Sueldo</vt:lpstr>
      <vt:lpstr>DATOS BASICOS EMP</vt:lpstr>
      <vt:lpstr>TABLAS</vt:lpstr>
      <vt:lpstr>PRUEBAS</vt:lpstr>
      <vt:lpstr>CONSULTAS</vt:lpstr>
      <vt:lpstr>Reglas de negocio</vt:lpstr>
      <vt:lpstr>Cargos</vt:lpstr>
      <vt:lpstr>CargoySueldo</vt:lpstr>
      <vt:lpstr>Ciudades</vt:lpstr>
      <vt:lpstr>CiudadyPoblacion</vt:lpstr>
      <vt:lpstr>Dependencias</vt:lpstr>
      <vt:lpstr>TipoContratos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UTP</dc:creator>
  <cp:lastModifiedBy>UTP</cp:lastModifiedBy>
  <dcterms:created xsi:type="dcterms:W3CDTF">2015-08-25T01:38:18Z</dcterms:created>
  <dcterms:modified xsi:type="dcterms:W3CDTF">2015-09-09T02:25:02Z</dcterms:modified>
</cp:coreProperties>
</file>